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drawings/drawing4.xml" ContentType="application/vnd.openxmlformats-officedocument.drawing+xml"/>
  <Override PartName="/xl/worksheets/sheet43.xml" ContentType="application/vnd.openxmlformats-officedocument.spreadsheetml.worksheet+xml"/>
  <Override PartName="/xl/drawings/drawing5.xml" ContentType="application/vnd.openxmlformats-officedocument.drawing+xml"/>
  <Override PartName="/xl/worksheets/sheet44.xml" ContentType="application/vnd.openxmlformats-officedocument.spreadsheetml.worksheet+xml"/>
  <Override PartName="/xl/drawings/drawing6.xml" ContentType="application/vnd.openxmlformats-officedocument.drawing+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comments2.xml" ContentType="application/vnd.openxmlformats-officedocument.spreadsheetml.comments+xml"/>
  <Override PartName="/xl/worksheets/sheet56.xml" ContentType="application/vnd.openxmlformats-officedocument.spreadsheetml.worksheet+xml"/>
  <Override PartName="/xl/worksheets/sheet57.xml" ContentType="application/vnd.openxmlformats-officedocument.spreadsheetml.worksheet+xml"/>
  <Override PartName="/xl/comments3.xml" ContentType="application/vnd.openxmlformats-officedocument.spreadsheetml.comments+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70" activeTab="4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r:id="rId13"/>
    <sheet name="ТС. Резерв мощности" sheetId="13" state="hidden" r:id="rId14"/>
    <sheet name="ТС. Т-ТН" sheetId="14" state="hidden" r:id="rId15"/>
    <sheet name="ТС. Т-передача ТЭ" sheetId="15" state="hidden" r:id="rId16"/>
    <sheet name="ТС. Т-передача ТН" sheetId="16" state="hidden" r:id="rId17"/>
    <sheet name="ТС. Т-гор.вода" sheetId="17" state="hidden" r:id="rId18"/>
    <sheet name="ТС. Т-подкл" sheetId="18" state="hidden" r:id="rId19"/>
    <sheet name="ХВС. Т-пит" sheetId="19" state="hidden" r:id="rId20"/>
    <sheet name="ХВС. Т-тех" sheetId="20" state="hidden" r:id="rId21"/>
    <sheet name="ХВС. Т-транс" sheetId="21" state="hidden" r:id="rId22"/>
    <sheet name="ХВС. Т-подвоз" sheetId="22" state="hidden" r:id="rId23"/>
    <sheet name="ХВС. Т-подкл" sheetId="23" state="hidden" r:id="rId24"/>
    <sheet name="ВО. Т-во" sheetId="24" state="hidden" r:id="rId25"/>
    <sheet name="ВО. Т-транс" sheetId="25" state="hidden" r:id="rId26"/>
    <sheet name="ВО. Т-подкл" sheetId="26" state="hidden" r:id="rId27"/>
    <sheet name="ГВС. Т-гор.вода" sheetId="27" state="hidden" r:id="rId28"/>
    <sheet name="ГВС. Т-транс" sheetId="28" state="hidden" r:id="rId29"/>
    <sheet name="ГВС. Т-подкл" sheetId="29" state="hidden" r:id="rId30"/>
    <sheet name="Показатели ФХД" sheetId="30" state="hidden" r:id="rId31"/>
    <sheet name="Показатели ФХД &gt;20%" sheetId="31" state="hidden" r:id="rId32"/>
    <sheet name="ТКО. Показатели ФХД" sheetId="32" state="hidden" r:id="rId33"/>
    <sheet name="ТКО. Транс. Показатели ФХД" sheetId="33" state="hidden" r:id="rId34"/>
    <sheet name="Показатели КНЭ" sheetId="34" state="hidden" r:id="rId35"/>
    <sheet name="Ограничения" sheetId="35" state="hidden" r:id="rId36"/>
    <sheet name="ИП" sheetId="36" state="hidden" r:id="rId37"/>
    <sheet name="ИП. Детализация" sheetId="37" state="hidden" r:id="rId38"/>
    <sheet name="ИП. Финансовый план" sheetId="38" state="hidden" r:id="rId39"/>
    <sheet name="ИП. КНЭ" sheetId="39" state="hidden" r:id="rId40"/>
    <sheet name="ТП" sheetId="40" state="hidden" r:id="rId41"/>
    <sheet name="Договоры" sheetId="41" state="hidden" r:id="rId42"/>
    <sheet name="Порядок ТП" sheetId="42" r:id="rId43"/>
    <sheet name="Предложение" sheetId="43" state="hidden" r:id="rId44"/>
    <sheet name="Сведения о закупках" sheetId="44" state="hidden" r:id="rId45"/>
    <sheet name="Потребительские характеристики" sheetId="45" state="hidden" r:id="rId46"/>
    <sheet name="ЭД" sheetId="46" state="hidden" r:id="rId47"/>
    <sheet name="Сведения об изменении" sheetId="47" state="hidden" r:id="rId48"/>
    <sheet name="Орган регулирования" sheetId="48" state="hidden" r:id="rId49"/>
    <sheet name="Перечень организаций" sheetId="49" state="hidden" r:id="rId50"/>
    <sheet name="Дела об установлении тарифов" sheetId="50" state="hidden" r:id="rId51"/>
    <sheet name="Привлечение к ответственности" sheetId="51" state="hidden" r:id="rId52"/>
    <sheet name="Комментарии" sheetId="52" r:id="rId53"/>
    <sheet name="Проверка" sheetId="53" state="hidden" r:id="rId54"/>
    <sheet name="et_union_hor" sheetId="54" state="hidden" r:id="rId55"/>
    <sheet name="TEHSHEET" sheetId="55" state="hidden" r:id="rId56"/>
    <sheet name="DATA_FORMS" sheetId="56" state="hidden" r:id="rId57"/>
    <sheet name="DATA_NPA" sheetId="57" state="hidden" r:id="rId58"/>
    <sheet name="Т-ТЭ | потр" sheetId="58" state="hidden" r:id="rId59"/>
    <sheet name="Т-ТЭ | предел" sheetId="59" state="hidden" r:id="rId60"/>
    <sheet name="Т-ТЭ | индикат" sheetId="60" state="hidden" r:id="rId61"/>
    <sheet name="Т-подкл(инд)" sheetId="61" state="hidden" r:id="rId62"/>
    <sheet name="modMainProcedures" sheetId="62" state="hidden" r:id="rId63"/>
    <sheet name="modB_FHD" sheetId="63" state="hidden" r:id="rId64"/>
    <sheet name="modB_FHD20" sheetId="64" state="hidden" r:id="rId65"/>
    <sheet name="modB_KNE" sheetId="65" state="hidden" r:id="rId66"/>
    <sheet name="modIP_MAIN" sheetId="66" state="hidden" r:id="rId67"/>
    <sheet name="modIP_QRE" sheetId="67" state="hidden" r:id="rId68"/>
    <sheet name="modIP_DETAILED" sheetId="68" state="hidden" r:id="rId69"/>
    <sheet name="et_union_vert" sheetId="69" state="hidden" r:id="rId70"/>
    <sheet name="Легенда" sheetId="70" state="hidden" r:id="rId71"/>
    <sheet name="modfrmListIP" sheetId="71" state="hidden" r:id="rId72"/>
    <sheet name="modfrmActivity" sheetId="72" state="hidden" r:id="rId73"/>
    <sheet name="REESTR_ORG" sheetId="73" state="hidden" r:id="rId74"/>
    <sheet name="REESTR_MO" sheetId="74" state="hidden" r:id="rId75"/>
    <sheet name="REESTR_IP" sheetId="75" state="hidden" r:id="rId76"/>
    <sheet name="REESTR_OBJ_INFR" sheetId="76" state="hidden" r:id="rId77"/>
    <sheet name="REESTR_DS" sheetId="77" state="hidden" r:id="rId78"/>
    <sheet name="REESTR_VT" sheetId="78" state="hidden" r:id="rId79"/>
    <sheet name="REESTR_VED" sheetId="79" state="hidden" r:id="rId80"/>
    <sheet name="REESTR_MO_FILTER" sheetId="80" state="hidden" r:id="rId81"/>
    <sheet name="REESTR_LINK" sheetId="81" state="hidden" r:id="rId82"/>
    <sheet name="modSheetMain" sheetId="82" state="hidden" r:id="rId83"/>
    <sheet name="modfrmReportMode" sheetId="83" state="hidden" r:id="rId84"/>
    <sheet name="modfrmReestrObj" sheetId="84" state="hidden" r:id="rId85"/>
    <sheet name="AllSheetsInThisWorkbook" sheetId="85" state="hidden" r:id="rId86"/>
    <sheet name="modInfo" sheetId="86" state="hidden" r:id="rId87"/>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MAIN_INFO_HEAT">'Общая информация об организации'!$19:$23</definedName>
    <definedName name="BLOCK_MAIN_INFO_NOT_TKO">'Общая информация об организации'!$45:$48</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E_P_TARIFF_A">'ТС. Т-ТЭ | &gt;=25МВт'!$58:$60</definedName>
    <definedName name="BLOCK_NOTE_P_TARIFF_A_COLDVSNA">'ХВС. Т-пит'!$54:$55</definedName>
    <definedName name="BLOCK_NOTE_P_TARIFF_A_HOTVSNA">'ГВС. Т-гор.вода'!$54:$55</definedName>
    <definedName name="BLOCK_NOTE_P_TARIFF_A_VOTV">'ВО. Т-во'!$54:$55</definedName>
    <definedName name="BLOCK_NOTE_P_TARIFF_B">'ТС. Т-ТЭ | ТСО'!$66:$68</definedName>
    <definedName name="BLOCK_NOTE_P_TARIFF_B_COLDVSNA">'ХВС. Т-тех'!$54:$55</definedName>
    <definedName name="BLOCK_NOTE_P_TARIFF_B_HOTVSNA">'ГВС. Т-транс'!$54:$55</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R_TARIFF_A">'ТС. Т-ТЭ | &gt;=25МВт'!$61:$64</definedName>
    <definedName name="BLOCK_NOTE_R_TARIFF_A_COLDVSNA">'ХВС. Т-пит'!$56:$57</definedName>
    <definedName name="BLOCK_NOTE_R_TARIFF_A_HOTVSNA">'ГВС. Т-гор.вода'!$56:$57</definedName>
    <definedName name="BLOCK_NOTE_R_TARIFF_A_VOTV">'ВО. Т-во'!$56:$57</definedName>
    <definedName name="BLOCK_NOTE_R_TARIFF_B">'ТС. Т-ТЭ | ТСО'!$69:$72</definedName>
    <definedName name="BLOCK_NOTE_R_TARIFF_B_COLDVSNA">'ХВС. Т-тех'!$56:$57</definedName>
    <definedName name="BLOCK_NOTE_R_TARIFF_B_HOTVSNA">'ГВС. Т-транс'!$56:$57</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тарифов'!$64:$88</definedName>
    <definedName name="BLOCK_PT_HEAT">'Перечень тарифов'!$13:$62</definedName>
    <definedName name="BLOCK_PT_HOTVSNA">'Перечень тарифов'!$90:$104</definedName>
    <definedName name="BLOCK_PT_VOTV">'Перечень тарифов'!$106:$120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тарифов'!$Z$12:$Z$122</definedName>
    <definedName name="DIFFERENTIATION_TARIFF_VD_ID">'Перечень тарифов'!$AB$12:$AB$122</definedName>
    <definedName name="DIFFERENTIATION_TARIFF_VTAR_ID">'Перечень тарифов'!$AA$12:$AA$122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et_union_hor!$119:$127</definedName>
    <definedName name="et_B_FHD20_1_NOT_HEAT">et_union_hor!$107:$115</definedName>
    <definedName name="et_B_FHD20_2">et_union_hor!$131:$134</definedName>
    <definedName name="et_B_FHD20_3">et_union_hor!$139:$140</definedName>
    <definedName name="et_B_FHD20_4">et_union_hor!$142:$142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et_union_hor!$H$146:$W$150</definedName>
    <definedName name="et_DIFFERENTIATION_TARIFF_CS">et_union_hor!$161:$162</definedName>
    <definedName name="et_DIFFERENTIATION_TARIFF_IST_TE">et_union_hor!$164:$164</definedName>
    <definedName name="et_DIFFERENTIATION_TARIFF_NOT_COLOR">et_union_hor!$H$186:$W$190</definedName>
    <definedName name="et_DIFFERENTIATION_TARIFF_NOT_HEAT_COLOR">et_union_hor!$H$168:$W$172</definedName>
    <definedName name="et_DIFFERENTIATION_TARIFF_NOT_HEAT_CS">et_union_hor!$183:$184</definedName>
    <definedName name="et_DIFFERENTIATION_TARIFF_NOT_HEAT_NTAR">et_union_hor!$174:$177</definedName>
    <definedName name="et_DIFFERENTIATION_TARIFF_NOT_HEAT_TER">et_union_hor!$179:$181</definedName>
    <definedName name="et_DIFFERENTIATION_TARIFF_NOT_HEAT_VTAR">et_union_hor!$168:$172</definedName>
    <definedName name="et_DIFFERENTIATION_TARIFF_NTAR">et_union_hor!$152:$155</definedName>
    <definedName name="et_DIFFERENTIATION_TARIFF_TER">et_union_hor!$157:$159</definedName>
    <definedName name="et_DIFFERENTIATION_TARIFF_VTAR">et_union_hor!$146:$150</definedName>
    <definedName name="et_DIFFERENTIATION_TKO_CLASS_TKO">et_union_hor!$194:$194</definedName>
    <definedName name="et_DIFFERENTIATION_TKO_COLOR">et_union_hor!$H$194:$AI$199</definedName>
    <definedName name="et_DIFFERENTIATION_TKO_NOT_COLOR">et_union_hor!$H$201:$AI$206</definedName>
    <definedName name="et_DIFFERENTIATION_TKO_NTAR">et_union_hor!$194:$198</definedName>
    <definedName name="et_DIFFERENTIATION_TKO_TER">et_union_hor!$194:$196</definedName>
    <definedName name="et_DIFFERENTIATION_TKO_TO">et_union_hor!$194:$197</definedName>
    <definedName name="et_DIFFERENTIATION_TKO_TYPE_TKO">et_union_hor!$194:$195</definedName>
    <definedName name="et_DIFFERENTIATION_TKO_VTAR">et_union_hor!$194:$199</definedName>
    <definedName name="et_DIFFERENTIATION_VD">et_union_hor!$23:$25</definedName>
    <definedName name="et_ED">et_union_hor!$56:$56</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Т-гор.вода'!$AC$7:$AI$8</definedName>
    <definedName name="et_HOTVSNA_TARIFF_A_HOTVSNA_PERIOD_NOT_COLOR">'ГВС. Т-гор.вода'!$AC$15:$AI$16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Т-транс'!$AC$7:$AI$8</definedName>
    <definedName name="et_HOTVSNA_TARIFF_B_HOTVSNA_PERIOD_NOT_COLOR">'ГВС. Т-транс'!$AC$15:$AI$16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et_union_hor!$73:$79</definedName>
    <definedName name="et_IP_DETAILED_EVENT">et_union_hor!$93:$97</definedName>
    <definedName name="et_IP_DETAILED_IST_FIN">et_union_hor!$89:$89</definedName>
    <definedName name="et_IP_DETAILED_OBJECT">et_union_hor!$83:$85</definedName>
    <definedName name="et_IP_DETAILED_YEAR">et_union_hor!$74:$79</definedName>
    <definedName name="et_IP_MAIN">et_union_hor!$64:$65</definedName>
    <definedName name="et_IP_MAIN_PROPERTY">et_union_hor!$69:$69</definedName>
    <definedName name="et_IP_QRE">et_union_hor!$101:$103</definedName>
    <definedName name="et_IP_QRE_CLAIM">et_union_hor!$102:$102</definedName>
    <definedName name="et_List02">et_union_hor!$146:$150</definedName>
    <definedName name="et_List02_1_wd">et_union_hor!$186:$189</definedName>
    <definedName name="et_List02_2_wd">et_union_hor!$186:$188</definedName>
    <definedName name="et_List02_3_wd">et_union_hor!$186:$187</definedName>
    <definedName name="et_List02_4_wd">et_union_hor!$186:$186</definedName>
    <definedName name="et_List02_changeColor_1">et_union_hor!$J$146:$J$149</definedName>
    <definedName name="et_List02_changeColor_1_wd">et_union_hor!$J$186:$J$189</definedName>
    <definedName name="et_List02_changeColor_2">et_union_hor!$N$146:$N$148</definedName>
    <definedName name="et_List02_changeColor_2_wd">et_union_hor!$N$186:$N$188</definedName>
    <definedName name="et_List02_changeColor_3">et_union_hor!$R$146:$R$147</definedName>
    <definedName name="et_List02_changeColor_3_wd">et_union_hor!$R$186:$R$187</definedName>
    <definedName name="et_List02_changeColor_4">et_union_hor!$V$146</definedName>
    <definedName name="et_List02_changeColor_4_wd">et_union_hor!$V$186</definedName>
    <definedName name="et_List02_wd">et_union_hor!$186:$190</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TERRITORY_MO">et_union_hor!$48:$48</definedName>
    <definedName name="et_ORG_TERRITORY_MO_FLAG_INTERNET">et_union_hor!$J$48</definedName>
    <definedName name="et_ORG_TERRITORY_MO_LINK">et_union_hor!$K$48</definedName>
    <definedName name="et_ORG_VD">et_union_hor!$52:$52</definedName>
    <definedName name="et_ORG_VD_COLDVSNA">et_union_hor!$X$52:$Z$52</definedName>
    <definedName name="et_ORG_VD_FIRST_SYSTEM">et_union_hor!$E$52</definedName>
    <definedName name="et_ORG_VD_HEAT">et_union_hor!$H$52:$R$52</definedName>
    <definedName name="et_ORG_VD_HOTVSNA">et_union_hor!$AB$52:$AC$52</definedName>
    <definedName name="et_ORG_VD_TKO_ACTIVITY">'Виды объектов'!$2:$3</definedName>
    <definedName name="et_ORG_VD_TKO_TYPE_OBJECT">'Виды объектов'!$2:$2</definedName>
    <definedName name="et_ORG_VD_VOTV">et_union_hor!$T$52:$V$52</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et_union_hor!$60:$60</definedName>
    <definedName name="et_Q_TP_DIFFERENTIATION">ТП!$G:$G</definedName>
    <definedName name="et_QRE">et_union_hor!$101:$103</definedName>
    <definedName name="et_QRE_CLAIM">et_union_hor!$102:$102</definedName>
    <definedName name="et_R_B_Purch">'Сведения о закупках'!$2:$2</definedName>
    <definedName name="et_ROIV_CASE_case">'Дела об установлении тарифов'!$2:$2</definedName>
    <definedName name="et_ROIV_INFO_phone">'Орган регулирования'!$2:$2</definedName>
    <definedName name="et_ROIV_ORG_org">'Перечень организаций'!$2:$2</definedName>
    <definedName name="et_ROIV_OTV_DL">'Привлечение к ответственности'!$2:$2</definedName>
    <definedName name="et_ROIV_OTV_org">'Привлечение к ответственности'!$2:$3</definedName>
    <definedName name="et_TERMS">et_union_hor!$60:$60</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OTVSNA_TARIFF_A_HOTVSNA">'ГВС. Т-гор.вода'!$V:$AB</definedName>
    <definedName name="et_ver_HOTVSNA_TARIFF_B_HOTVSNA">'ГВС. Т-транс'!$V:$AB</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TEHSHEET!$H$2:$H$7</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Предложение!$L$82</definedName>
    <definedName name="OFFER_METHOD">Предложение!$K$24:$K$80</definedName>
    <definedName name="OFFER_METHOD_FLAG">TEHSHEET!$L$6</definedName>
    <definedName name="OFFER_TARIFF_A_1">Предложение!$24:$26</definedName>
    <definedName name="OFFER_TARIFF_A_2">Предложение!$84:$86</definedName>
    <definedName name="OFFER_TARIFF_A_3">Предложение!$142:$144</definedName>
    <definedName name="OFFER_TARIFF_A_4">Предложение!$200:$202</definedName>
    <definedName name="OFFER_TARIFF_A_5">Предложение!$258:$260</definedName>
    <definedName name="OFFER_TARIFF_A_COLDVSNA_1">Предложение!$48:$50</definedName>
    <definedName name="OFFER_TARIFF_A_COLDVSNA_2">Предложение!$108:$110</definedName>
    <definedName name="OFFER_TARIFF_A_COLDVSNA_3">Предложение!$166:$168</definedName>
    <definedName name="OFFER_TARIFF_A_COLDVSNA_4">Предложение!$224:$226</definedName>
    <definedName name="OFFER_TARIFF_A_COLDVSNA_5">Предложение!$282:$284</definedName>
    <definedName name="OFFER_TARIFF_A_HOTVSNA_1">Предложение!$63:$65</definedName>
    <definedName name="OFFER_TARIFF_A_HOTVSNA_2">Предложение!$123:$125</definedName>
    <definedName name="OFFER_TARIFF_A_HOTVSNA_3">Предложение!$181:$183</definedName>
    <definedName name="OFFER_TARIFF_A_HOTVSNA_4">Предложение!$239:$241</definedName>
    <definedName name="OFFER_TARIFF_A_HOTVSNA_5">Предложение!$297:$299</definedName>
    <definedName name="OFFER_TARIFF_A_VOTV_1">Предложение!$72:$74</definedName>
    <definedName name="OFFER_TARIFF_A_VOTV_2">Предложение!$132:$134</definedName>
    <definedName name="OFFER_TARIFF_A_VOTV_3">Предложение!$190:$192</definedName>
    <definedName name="OFFER_TARIFF_A_VOTV_4">Предложение!$248:$250</definedName>
    <definedName name="OFFER_TARIFF_A_VOTV_5">Предложение!$306:$308</definedName>
    <definedName name="OFFER_TARIFF_B_1">Предложение!$27:$29</definedName>
    <definedName name="OFFER_TARIFF_B_2">Предложение!$87:$89</definedName>
    <definedName name="OFFER_TARIFF_B_3">Предложение!$145:$147</definedName>
    <definedName name="OFFER_TARIFF_B_4">Предложение!$203:$205</definedName>
    <definedName name="OFFER_TARIFF_B_5">Предложение!$261:$263</definedName>
    <definedName name="OFFER_TARIFF_B_COLDVSNA_1">Предложение!$51:$53</definedName>
    <definedName name="OFFER_TARIFF_B_COLDVSNA_2">Предложение!$111:$113</definedName>
    <definedName name="OFFER_TARIFF_B_COLDVSNA_3">Предложение!$169:$171</definedName>
    <definedName name="OFFER_TARIFF_B_COLDVSNA_4">Предложение!$227:$229</definedName>
    <definedName name="OFFER_TARIFF_B_COLDVSNA_5">Предложение!$285:$287</definedName>
    <definedName name="OFFER_TARIFF_B_HOTVSNA_1">Предложение!$66:$68</definedName>
    <definedName name="OFFER_TARIFF_B_HOTVSNA_2">Предложение!$126:$128</definedName>
    <definedName name="OFFER_TARIFF_B_HOTVSNA_3">Предложение!$184:$186</definedName>
    <definedName name="OFFER_TARIFF_B_HOTVSNA_4">Предложение!$242:$244</definedName>
    <definedName name="OFFER_TARIFF_B_HOTVSNA_5">Предложение!$300:$302</definedName>
    <definedName name="OFFER_TARIFF_B_VOTV_1">Предложение!$75:$77</definedName>
    <definedName name="OFFER_TARIFF_B_VOTV_2">Предложение!$135:$137</definedName>
    <definedName name="OFFER_TARIFF_B_VOTV_3">Предложение!$193:$195</definedName>
    <definedName name="OFFER_TARIFF_B_VOTV_4">Предложение!$251:$253</definedName>
    <definedName name="OFFER_TARIFF_B_VOTV_5">Предложение!$309:$311</definedName>
    <definedName name="OFFER_TARIFF_C_1">Предложение!$30:$32</definedName>
    <definedName name="OFFER_TARIFF_C_2">Предложение!$90:$92</definedName>
    <definedName name="OFFER_TARIFF_C_3">Предложение!$148:$150</definedName>
    <definedName name="OFFER_TARIFF_C_4">Предложение!$206:$208</definedName>
    <definedName name="OFFER_TARIFF_C_5">Предложение!$264:$266</definedName>
    <definedName name="OFFER_TARIFF_C_COLDVSNA_1">Предложение!$54:$56</definedName>
    <definedName name="OFFER_TARIFF_C_COLDVSNA_2">Предложение!$114:$116</definedName>
    <definedName name="OFFER_TARIFF_C_COLDVSNA_3">Предложение!$172:$174</definedName>
    <definedName name="OFFER_TARIFF_C_COLDVSNA_4">Предложение!$230:$232</definedName>
    <definedName name="OFFER_TARIFF_C_COLDVSNA_5">Предложение!$288:$290</definedName>
    <definedName name="OFFER_TARIFF_C_HOTVSNA_1">Предложение!$69:$71</definedName>
    <definedName name="OFFER_TARIFF_C_HOTVSNA_2">Предложение!$129:$131</definedName>
    <definedName name="OFFER_TARIFF_C_HOTVSNA_3">Предложение!$187:$189</definedName>
    <definedName name="OFFER_TARIFF_C_HOTVSNA_4">Предложение!$245:$247</definedName>
    <definedName name="OFFER_TARIFF_C_HOTVSNA_5">Предложение!$303:$305</definedName>
    <definedName name="OFFER_TARIFF_C_VOTV_1">Предложение!$78:$80</definedName>
    <definedName name="OFFER_TARIFF_C_VOTV_2">Предложение!$138:$140</definedName>
    <definedName name="OFFER_TARIFF_C_VOTV_3">Предложение!$196:$198</definedName>
    <definedName name="OFFER_TARIFF_C_VOTV_4">Предложение!$254:$256</definedName>
    <definedName name="OFFER_TARIFF_C_VOTV_5">Предложение!$312:$314</definedName>
    <definedName name="OFFER_TARIFF_D_1">Предложение!$33:$35</definedName>
    <definedName name="OFFER_TARIFF_D_2">Предложение!$93:$95</definedName>
    <definedName name="OFFER_TARIFF_D_3">Предложение!$151:$153</definedName>
    <definedName name="OFFER_TARIFF_D_4">Предложение!$209:$211</definedName>
    <definedName name="OFFER_TARIFF_D_5">Предложение!$267:$269</definedName>
    <definedName name="OFFER_TARIFF_D_COLDVSNA_1">Предложение!$57:$59</definedName>
    <definedName name="OFFER_TARIFF_D_COLDVSNA_2">Предложение!$117:$119</definedName>
    <definedName name="OFFER_TARIFF_D_COLDVSNA_3">Предложение!$175:$177</definedName>
    <definedName name="OFFER_TARIFF_D_COLDVSNA_4">Предложение!$233:$235</definedName>
    <definedName name="OFFER_TARIFF_D_COLDVSNA_5">Предложение!$291:$293</definedName>
    <definedName name="OFFER_TARIFF_E_COLDVSNA_1">Предложение!$60:$62</definedName>
    <definedName name="OFFER_TARIFF_E_COLDVSNA_2">Предложение!$120:$122</definedName>
    <definedName name="OFFER_TARIFF_E_COLDVSNA_3">Предложение!$178:$180</definedName>
    <definedName name="OFFER_TARIFF_E_COLDVSNA_4">Предложение!$236:$238</definedName>
    <definedName name="OFFER_TARIFF_E_COLDVSNA_5">Предложение!$294:$296</definedName>
    <definedName name="OFFER_TARIFF_E1_1">Предложение!$36:$38</definedName>
    <definedName name="OFFER_TARIFF_E1_2">Предложение!$96:$98</definedName>
    <definedName name="OFFER_TARIFF_E1_3">Предложение!$154:$156</definedName>
    <definedName name="OFFER_TARIFF_E1_4">Предложение!$212:$214</definedName>
    <definedName name="OFFER_TARIFF_E1_5">Предложение!$270:$272</definedName>
    <definedName name="OFFER_TARIFF_E2_1">Предложение!$39:$41</definedName>
    <definedName name="OFFER_TARIFF_E2_2">Предложение!$99:$101</definedName>
    <definedName name="OFFER_TARIFF_E2_3">Предложение!$157:$159</definedName>
    <definedName name="OFFER_TARIFF_E2_4">Предложение!$215:$217</definedName>
    <definedName name="OFFER_TARIFF_E2_5">Предложение!$273:$275</definedName>
    <definedName name="OFFER_TARIFF_F_1">Предложение!$42:$44</definedName>
    <definedName name="OFFER_TARIFF_F_2">Предложение!$102:$104</definedName>
    <definedName name="OFFER_TARIFF_F_3">Предложение!$160:$162</definedName>
    <definedName name="OFFER_TARIFF_F_4">Предложение!$218:$220</definedName>
    <definedName name="OFFER_TARIFF_F_5">Предложение!$276:$278</definedName>
    <definedName name="OFFER_TARIFF_G_1">Предложение!$45:$47</definedName>
    <definedName name="OFFER_TARIFF_G_2">Предложение!$105:$107</definedName>
    <definedName name="OFFER_TARIFF_G_3">Предложение!$163:$165</definedName>
    <definedName name="OFFER_TARIFF_G_4">Предложение!$221:$223</definedName>
    <definedName name="OFFER_TARIFF_G_5">Предложение!$279:$281</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организации'!$F$43</definedName>
    <definedName name="ORG_INFO_ET">'Общая информация об организации'!$F$20:$F$23</definedName>
    <definedName name="ORG_INFO_FLAG_INVEST">'Общая информация об организации'!$F$50</definedName>
    <definedName name="ORG_INFO_NAME_FORM">DATA_FORMS!$C$4</definedName>
    <definedName name="ORG_INFO_P_NOTE_MAIN">DATA_NPA!$N$3</definedName>
    <definedName name="ORG_INFO_RESP_EMAIL">'Общая информация об организации'!$F$31</definedName>
    <definedName name="ORG_INFO_URL">'Общая информация об организации'!$F$42</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организации'!$C$39:$C$49</definedName>
    <definedName name="pDel_ORG_TERRITORY">'Сведения по территориям'!$D$11:$D$13</definedName>
    <definedName name="pDel_ORG_VD">'Общая информация по ВД'!$C$11:$C$13</definedName>
    <definedName name="pDel_P_PROCEDURE_TC">'Порядок ТП'!$C$26:$C$46</definedName>
    <definedName name="pDel_P_T_TERMS">Договоры!$C$14:$C$26</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ТП'!$A$21:$A$46</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организации'!$E$41</definedName>
    <definedName name="pIns_ORG_INFO_2">'Общая информация об организации'!$E$49</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ТП'!$E$33</definedName>
    <definedName name="pIns_P_PROCEDURE_TC_3">'Порядок ТП'!$E$37</definedName>
    <definedName name="pIns_P_PROCEDURE_TC_4">'Порядок ТП'!$E$40</definedName>
    <definedName name="pIns_P_PROCEDURE_TC_5">'Порядок ТП'!$E$46</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Предложение!$G$50</definedName>
    <definedName name="pIns_PT_VTAR_A_COLDVSNA_OFFER_2">Предложение!$G$110</definedName>
    <definedName name="pIns_PT_VTAR_A_COLDVSNA_OFFER_3">Предложение!$G$168</definedName>
    <definedName name="pIns_PT_VTAR_A_COLDVSNA_OFFER_4">Предложение!$G$226</definedName>
    <definedName name="pIns_PT_VTAR_A_COLDVSNA_OFFER_5">Предложение!$G$284</definedName>
    <definedName name="pIns_PT_VTAR_A_COLDVSNA_OFFER5">Предложение!$G$284</definedName>
    <definedName name="pIns_PT_VTAR_A_HOTVSNA">'ГВС. Т-гор.вода'!$T$53</definedName>
    <definedName name="pIns_PT_VTAR_A_HOTVSNA_OFFER_1">Предложение!$G$65</definedName>
    <definedName name="pIns_PT_VTAR_A_HOTVSNA_OFFER_2">Предложение!$G$125</definedName>
    <definedName name="pIns_PT_VTAR_A_HOTVSNA_OFFER_3">Предложение!$G$183</definedName>
    <definedName name="pIns_PT_VTAR_A_HOTVSNA_OFFER_4">Предложение!$G$241</definedName>
    <definedName name="pIns_PT_VTAR_A_HOTVSNA_OFFER_5">Предложение!$G$299</definedName>
    <definedName name="pIns_PT_VTAR_A_OFFER_1">Предложение!$G$26</definedName>
    <definedName name="pIns_PT_VTAR_A_OFFER_2">Предложение!$G$86</definedName>
    <definedName name="pIns_PT_VTAR_A_OFFER_3">Предложение!$G$144</definedName>
    <definedName name="pIns_PT_VTAR_A_OFFER_4">Предложение!$G$202</definedName>
    <definedName name="pIns_PT_VTAR_A_OFFER_5">Предложение!$G$260</definedName>
    <definedName name="pIns_PT_VTAR_A_VOTV">'ВО. Т-во'!$T$53</definedName>
    <definedName name="pIns_PT_VTAR_A_VOTV_OFFER_1">Предложение!$G$74</definedName>
    <definedName name="pIns_PT_VTAR_A_VOTV_OFFER_2">Предложение!$G$134</definedName>
    <definedName name="pIns_PT_VTAR_A_VOTV_OFFER_3">Предложение!$G$192</definedName>
    <definedName name="pIns_PT_VTAR_A_VOTV_OFFER_4">Предложение!$G$250</definedName>
    <definedName name="pIns_PT_VTAR_A_VOTV_OFFER_5">Предложение!$G$308</definedName>
    <definedName name="pIns_PT_VTAR_B">'ТС. Т-ТЭ | ТСО'!$T$65</definedName>
    <definedName name="pIns_PT_VTAR_B_COLDVSNA">'ХВС. Т-тех'!$T$53</definedName>
    <definedName name="pIns_PT_VTAR_B_COLDVSNA_OFFER_1">Предложение!$G$53</definedName>
    <definedName name="pIns_PT_VTAR_B_COLDVSNA_OFFER_2">Предложение!$G$113</definedName>
    <definedName name="pIns_PT_VTAR_B_COLDVSNA_OFFER_3">Предложение!$G$171</definedName>
    <definedName name="pIns_PT_VTAR_B_COLDVSNA_OFFER_4">Предложение!$G$229</definedName>
    <definedName name="pIns_PT_VTAR_B_COLDVSNA_OFFER_5">Предложение!$G$287</definedName>
    <definedName name="pIns_PT_VTAR_B_HOTVSNA">'ГВС. Т-транс'!$T$53</definedName>
    <definedName name="pIns_PT_VTAR_B_HOTVSNA_OFFER_1">Предложение!$G$68</definedName>
    <definedName name="pIns_PT_VTAR_B_HOTVSNA_OFFER_2">Предложение!$G$128</definedName>
    <definedName name="pIns_PT_VTAR_B_HOTVSNA_OFFER_3">Предложение!$G$186</definedName>
    <definedName name="pIns_PT_VTAR_B_HOTVSNA_OFFER_4">Предложение!$G$244</definedName>
    <definedName name="pIns_PT_VTAR_B_HOTVSNA_OFFER_5">Предложение!$G$302</definedName>
    <definedName name="pIns_PT_VTAR_B_OFFER_1">Предложение!$G$29</definedName>
    <definedName name="pIns_PT_VTAR_B_OFFER_2">Предложение!$G$89</definedName>
    <definedName name="pIns_PT_VTAR_B_OFFER_3">Предложение!$G$147</definedName>
    <definedName name="pIns_PT_VTAR_B_OFFER_4">Предложение!$G$205</definedName>
    <definedName name="pIns_PT_VTAR_B_OFFER_5">Предложение!$G$263</definedName>
    <definedName name="pIns_PT_VTAR_B_VOTV">'ВО. Т-транс'!$T$53</definedName>
    <definedName name="pIns_PT_VTAR_B_VOTV_OFFER_1">Предложение!$G$77</definedName>
    <definedName name="pIns_PT_VTAR_B_VOTV_OFFER_2">Предложение!$G$137</definedName>
    <definedName name="pIns_PT_VTAR_B_VOTV_OFFER_3">Предложение!$G$195</definedName>
    <definedName name="pIns_PT_VTAR_B_VOTV_OFFER_4">Предложение!$G$253</definedName>
    <definedName name="pIns_PT_VTAR_B_VOTV_OFFER_5">Предложение!$G$311</definedName>
    <definedName name="pIns_PT_VTAR_C">'ТС. Т-ТН'!$T$57</definedName>
    <definedName name="pIns_PT_VTAR_C_COLDVSNA">'ХВС. Т-транс'!$T$53</definedName>
    <definedName name="pIns_PT_VTAR_C_COLDVSNA_OFFER_1">Предложение!$G$56</definedName>
    <definedName name="pIns_PT_VTAR_C_COLDVSNA_OFFER_2">Предложение!$G$116</definedName>
    <definedName name="pIns_PT_VTAR_C_COLDVSNA_OFFER_3">Предложение!$G$174</definedName>
    <definedName name="pIns_PT_VTAR_C_COLDVSNA_OFFER_4">Предложение!$G$232</definedName>
    <definedName name="pIns_PT_VTAR_C_COLDVSNA_OFFER_5">Предложение!$G$290</definedName>
    <definedName name="pIns_PT_VTAR_C_HOTVSNA">'ГВС. Т-подкл'!$T$63</definedName>
    <definedName name="pIns_PT_VTAR_C_HOTVSNA_OFFER_1">Предложение!$G$71</definedName>
    <definedName name="pIns_PT_VTAR_C_HOTVSNA_OFFER_2">Предложение!$G$131</definedName>
    <definedName name="pIns_PT_VTAR_C_HOTVSNA_OFFER_3">Предложение!$G$189</definedName>
    <definedName name="pIns_PT_VTAR_C_HOTVSNA_OFFER_4">Предложение!$G$247</definedName>
    <definedName name="pIns_PT_VTAR_C_HOTVSNA_OFFER_5">Предложение!$G$305</definedName>
    <definedName name="pIns_PT_VTAR_C_OFFER_1">Предложение!$G$32</definedName>
    <definedName name="pIns_PT_VTAR_C_OFFER_2">Предложение!$G$92</definedName>
    <definedName name="pIns_PT_VTAR_C_OFFER_3">Предложение!$G$150</definedName>
    <definedName name="pIns_PT_VTAR_C_OFFER_4">Предложение!$G$208</definedName>
    <definedName name="pIns_PT_VTAR_C_OFFER_5">Предложение!$G$266</definedName>
    <definedName name="pIns_PT_VTAR_C_VOTV">'ВО. Т-подкл'!$T$63</definedName>
    <definedName name="pIns_PT_VTAR_C_VOTV_OFFER_1">Предложение!$G$80</definedName>
    <definedName name="pIns_PT_VTAR_C_VOTV_OFFER_2">Предложение!$G$140</definedName>
    <definedName name="pIns_PT_VTAR_C_VOTV_OFFER_3">Предложение!$G$198</definedName>
    <definedName name="pIns_PT_VTAR_C_VOTV_OFFER_4">Предложение!$G$256</definedName>
    <definedName name="pIns_PT_VTAR_C_VOTV_OFFER_5">Предложение!$G$314</definedName>
    <definedName name="pIns_PT_VTAR_D">'ТС. Т-гор.вода'!$V$65</definedName>
    <definedName name="pIns_PT_VTAR_D_COLDVSNA">'ХВС. Т-подвоз'!$T$53</definedName>
    <definedName name="pIns_PT_VTAR_D_COLDVSNA_OFFER_1">Предложение!$G$59</definedName>
    <definedName name="pIns_PT_VTAR_D_COLDVSNA_OFFER_2">Предложение!$G$119</definedName>
    <definedName name="pIns_PT_VTAR_D_COLDVSNA_OFFER_3">Предложение!$G$177</definedName>
    <definedName name="pIns_PT_VTAR_D_COLDVSNA_OFFER_4">Предложение!$G$235</definedName>
    <definedName name="pIns_PT_VTAR_D_COLDVSNA_OFFER_5">Предложение!$G$293</definedName>
    <definedName name="pIns_PT_VTAR_D_OFFER_1">Предложение!$G$35</definedName>
    <definedName name="pIns_PT_VTAR_D_OFFER_2">Предложение!$G$95</definedName>
    <definedName name="pIns_PT_VTAR_D_OFFER_3">Предложение!$G$153</definedName>
    <definedName name="pIns_PT_VTAR_D_OFFER_4">Предложение!$G$211</definedName>
    <definedName name="pIns_PT_VTAR_D_OFFER_5">Предложение!$G$269</definedName>
    <definedName name="pIns_PT_VTAR_E_COLDVSNA">'ХВС. Т-подкл'!$T$63</definedName>
    <definedName name="pIns_PT_VTAR_E_COLDVSNA_OFFER_1">Предложение!$G$62</definedName>
    <definedName name="pIns_PT_VTAR_E_COLDVSNA_OFFER_2">Предложение!$G$122</definedName>
    <definedName name="pIns_PT_VTAR_E_COLDVSNA_OFFER_3">Предложение!$G$180</definedName>
    <definedName name="pIns_PT_VTAR_E_COLDVSNA_OFFER_4">Предложение!$G$238</definedName>
    <definedName name="pIns_PT_VTAR_E_COLDVSNA_OFFER_5">Предложение!$G$296</definedName>
    <definedName name="pIns_PT_VTAR_E1">'ТС. Т-передача ТЭ'!$T$57</definedName>
    <definedName name="pIns_PT_VTAR_E1_OFFER_1">Предложение!$G$38</definedName>
    <definedName name="pIns_PT_VTAR_E1_OFFER_2">Предложение!$G$98</definedName>
    <definedName name="pIns_PT_VTAR_E1_OFFER_3">Предложение!$G$156</definedName>
    <definedName name="pIns_PT_VTAR_E1_OFFER_4">Предложение!$G$214</definedName>
    <definedName name="pIns_PT_VTAR_E1_OFFER_5">Предложение!$G$272</definedName>
    <definedName name="pIns_PT_VTAR_E2">'ТС. Т-передача ТН'!$T$57</definedName>
    <definedName name="pIns_PT_VTAR_E2_OFFER_1">Предложение!$G$41</definedName>
    <definedName name="pIns_PT_VTAR_E2_OFFER_2">Предложение!$G$101</definedName>
    <definedName name="pIns_PT_VTAR_E2_OFFER_3">Предложение!$G$159</definedName>
    <definedName name="pIns_PT_VTAR_E2_OFFER_4">Предложение!$G$217</definedName>
    <definedName name="pIns_PT_VTAR_E2_OFFER_5">Предложение!$G$275</definedName>
    <definedName name="pIns_PT_VTAR_F">'ТС. Резерв мощности'!$T$57</definedName>
    <definedName name="pIns_PT_VTAR_F_OFFER_1">Предложение!$G$44</definedName>
    <definedName name="pIns_PT_VTAR_F_OFFER_2">Предложение!$G$104</definedName>
    <definedName name="pIns_PT_VTAR_F_OFFER_3">Предложение!$G$162</definedName>
    <definedName name="pIns_PT_VTAR_F_OFFER_4">Предложение!$G$220</definedName>
    <definedName name="pIns_PT_VTAR_F_OFFER_5">Предложение!$G$278</definedName>
    <definedName name="pIns_PT_VTAR_G">'ТС. Т-подкл'!$T$62</definedName>
    <definedName name="pIns_PT_VTAR_G_OFFER_1">Предложение!$G$47</definedName>
    <definedName name="pIns_PT_VTAR_G_OFFER_2">Предложение!$G$107</definedName>
    <definedName name="pIns_PT_VTAR_G_OFFER_3">Предложение!$G$165</definedName>
    <definedName name="pIns_PT_VTAR_G_OFFER_4">Предложение!$G$223</definedName>
    <definedName name="pIns_PT_VTAR_G_OFFER_5">Предложение!$G$281</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INFO_phone">'Орган регулирования'!$E$21</definedName>
    <definedName name="pIns_ROIV_ORG_org">'Перечень организаций'!$F$10</definedName>
    <definedName name="pIns_ROIV_OTV_org">'Привлечение к ответственности'!$G$13</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ТСО'!$BZ$39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OTVSNA_TARIFF_A_HOTVSNA">'ГВС. Т-гор.вода'!$AJ$37</definedName>
    <definedName name="pIns_ver_HOTVSNA_TARIFF_B_HOTVSNA">'ГВС. Т-транс'!$AJ$37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Т-гор.вода'!$43:$50</definedName>
    <definedName name="pt_cs_15">'ГВС. Т-транс'!$43:$50</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ТСО'!$45:$62</definedName>
    <definedName name="pt_cs_3">'ТС. Т-ТН'!$45:$54</definedName>
    <definedName name="pt_cs_4">'ТС. Т-гор.вода'!$51:$62</definedName>
    <definedName name="pt_cs_4i">'Т-ТЭ | индикат'!$21:$30</definedName>
    <definedName name="pt_cs_4p">'Т-ТЭ | предел'!$21:$30</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тарифов'!$AL$12:$AL$122</definedName>
    <definedName name="PT_DIFFERENTIATION_CS_ID">'Перечень тарифов'!$AF$12:$AF$122</definedName>
    <definedName name="PT_DIFFERENTIATION_IST_TE">'Перечень тарифов'!$AM$12:$AM$122</definedName>
    <definedName name="PT_DIFFERENTIATION_IST_TE_ID">'Перечень тарифов'!$AG$12:$AG$122</definedName>
    <definedName name="PT_DIFFERENTIATION_NTAR">'Перечень тарифов'!$AJ$12:$AJ$122</definedName>
    <definedName name="PT_DIFFERENTIATION_NTAR_ID">'Перечень тарифов'!$AD$12:$AD$122</definedName>
    <definedName name="PT_DIFFERENTIATION_NUM_CS">'Перечень тарифов'!$AP$12:$AP$122</definedName>
    <definedName name="PT_DIFFERENTIATION_NUM_IST_TE">'Перечень тарифов'!$AQ$12:$AQ$122</definedName>
    <definedName name="PT_DIFFERENTIATION_NUM_NTAR">'Перечень тарифов'!$AN$12:$AN$122</definedName>
    <definedName name="PT_DIFFERENTIATION_NUM_TER">'Перечень тарифов'!$AO$12:$AO$122</definedName>
    <definedName name="PT_DIFFERENTIATION_TER">'Перечень тарифов'!$AK$12:$AK$122</definedName>
    <definedName name="PT_DIFFERENTIATION_TER_ID">'Перечень тарифов'!$AE$12:$AE$122</definedName>
    <definedName name="PT_DIFFERENTIATION_VDET">'Перечень тарифов'!$AI$12:$AI$122</definedName>
    <definedName name="PT_DIFFERENTIATION_VTAR">'Перечень тарифов'!$AH$12:$AH$122</definedName>
    <definedName name="PT_DIFFERENTIATION_VTAR_ID">'Перечень тарифов'!$AC$12:$AC$122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ТСО'!$46:$61</definedName>
    <definedName name="pt_ist_te_3">'ТС. Т-ТН'!$46:$53</definedName>
    <definedName name="pt_ist_te_4">'ТС. Т-гор.вода'!$52:$61</definedName>
    <definedName name="pt_ist_te_4i">'Т-ТЭ | индикат'!$22:$29</definedName>
    <definedName name="pt_ist_te_4p">'Т-ТЭ | предел'!$22:$29</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Т-гор.вода'!$41:$52</definedName>
    <definedName name="pt_ntar_15">'ГВС. Т-транс'!$41:$52</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ТСО'!$43:$64</definedName>
    <definedName name="pt_ntar_3">'ТС. Т-ТН'!$43:$56</definedName>
    <definedName name="pt_ntar_4">'ТС. Т-гор.вода'!$49:$64</definedName>
    <definedName name="pt_ntar_4i">'Т-ТЭ | индикат'!$19:$32</definedName>
    <definedName name="pt_ntar_4p">'Т-ТЭ | предел'!$19:$32</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Т-гор.вода'!$42:$51</definedName>
    <definedName name="pt_ter_15">'ГВС. Т-транс'!$42:$51</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ТСО'!$44:$63</definedName>
    <definedName name="pt_ter_3">'ТС. Т-ТН'!$44:$55</definedName>
    <definedName name="pt_ter_4">'ТС. Т-гор.вода'!$50:$63</definedName>
    <definedName name="pt_ter_4i">'Т-ТЭ | индикат'!$20:$31</definedName>
    <definedName name="pt_ter_4p">'Т-ТЭ | предел'!$20:$31</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Ограничения!$F$36:$K$36</definedName>
    <definedName name="Q_LIMIT_p4">Ограничения!$F$38:$K$38</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EL_HL_CASE_COLUMN_MARKER">'Дела об установлении тарифов'!$D$1</definedName>
    <definedName name="ROIV_CASE_NUM_CASE_COLUMN_MARKER">'Дела об установлении тарифов'!$E$1</definedName>
    <definedName name="ROIV_INFO_DEL_HL_PHONE_COLUMN_MARKER">'Орган регулирования'!$C$1</definedName>
    <definedName name="ROIV_INFO_LIST">TEHSHEET!$AZ$97:$AZ$99</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ответственности'!$L$1</definedName>
    <definedName name="ROIV_OTV_DEL_HL_DL_COLUMN_MARKER">'Привлечение к ответственности'!$J$1</definedName>
    <definedName name="ROIV_OTV_DEL_HL_ORG_COLUMN_MARKER">'Привлечение к ответственности'!$D$1</definedName>
    <definedName name="ROIV_OTV_INN_COLUMN_MARKER">'Привлечение к ответственности'!$I$1</definedName>
    <definedName name="ROIV_OTV_NAME_ORG_COLUMN_MARKER">'Привлечение к ответственности'!$H$1</definedName>
    <definedName name="ROIV_OTV_NUM_DL_COLUMN_MARKER">'Привлечение к ответственности'!$K$1</definedName>
    <definedName name="ROIV_OTV_NUM_ORG_COLUMN_MARKER">'Привлечение к ответственности'!$F$1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TEHSHEET!$AZ$102:$AZ$104</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REESTR_IP!$A$2:$D$48</definedName>
    <definedName name="VD_LIST">REESTR_VED!$A$2:$B$11</definedName>
    <definedName name="VD_ID_LIST">REESTR_VED!$A$2:$A$11</definedName>
    <definedName name="VD_NAME_LIST">REESTR_VED!$B$2:$B$11</definedName>
    <definedName name="et_B_FHD20_1">et_union_hor!$119:$127</definedName>
    <definedName name="DESCRIPTION_TERRITORY">REESTR_DS!$B$2</definedName>
  </definedNames>
  <calcPr calcId="0" iterate="0" iterateCount="100" iterateDelta="0.001"/>
</workbook>
</file>

<file path=xl/comments1.xml><?xml version="1.0" encoding="utf-8"?>
<comments xmlns="http://schemas.openxmlformats.org/spreadsheetml/2006/main">
  <authors>
    <author>Author</author>
  </authors>
  <commentList>
    <comment ref="F31" authorId="0">
      <text>
        <r>
          <rPr>
            <sz val="9"/>
            <color indexed="81"/>
            <rFont val="Tahoma"/>
            <family val="2"/>
          </rPr>
          <t>Выбор организации двойным щелчком левой клавиши мыши</t>
        </r>
      </text>
    </commen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<sst xmlns="http://schemas.openxmlformats.org/spreadsheetml/2006/main" count="18705" uniqueCount="4762">
  <si>
    <t xml:space="preserve"> (требуется обновление)</t>
  </si>
  <si>
    <t>Код отчёта: PP110.OPEN.INFO.PRICE.HEAT.EIAS</t>
  </si>
  <si>
    <t>Версия отчёта: 1.0.5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</si>
  <si>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</si>
  <si>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</si>
  <si>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</si>
  <si>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</si>
  <si>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</si>
  <si>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</si>
  <si>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</si>
  <si>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</si>
  <si>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</si>
  <si>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</si>
  <si>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</si>
  <si>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Ростовская область</t>
  </si>
  <si>
    <t>Состав раскрываемой информации</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</si>
  <si>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</si>
  <si>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</si>
  <si>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</si>
  <si>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</si>
  <si>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</si>
  <si>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</si>
  <si>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</si>
  <si>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</si>
  <si>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</si>
  <si>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</si>
  <si>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</si>
  <si>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</si>
  <si>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</si>
  <si>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</si>
  <si>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</si>
  <si>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</si>
  <si>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</si>
  <si>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</si>
  <si>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</si>
  <si>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</si>
  <si>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</si>
  <si>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550</t>
  </si>
  <si>
    <t>Наименование органа регулирования, принявшего решение об утверждении тарифов</t>
  </si>
  <si>
    <t>Региональная служба по тарифам Ростовской области</t>
  </si>
  <si>
    <t>Источник официального опубликования решения</t>
  </si>
  <si>
    <t>https://rst.donland.ru</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</si>
  <si>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</si>
  <si>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</si>
  <si>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Наименование ЮЛ / ИП</t>
  </si>
  <si>
    <t>МУП г. Азова "Теплоэнерго"</t>
  </si>
  <si>
    <t>Наименование (описание) обособленного подразделения</t>
  </si>
  <si>
    <t>ИНН</t>
  </si>
  <si>
    <t>6140028670</t>
  </si>
  <si>
    <t>КПП</t>
  </si>
  <si>
    <t>614001001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</si>
  <si>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</si>
  <si>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</si>
  <si>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</si>
  <si>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</si>
  <si>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</si>
  <si>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</si>
  <si>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</si>
  <si>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</si>
  <si>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</si>
  <si>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</si>
  <si>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</si>
  <si>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</si>
  <si>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</si>
  <si>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</si>
  <si>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</si>
  <si>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</si>
  <si>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</si>
  <si>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</si>
  <si>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</si>
  <si>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346780 Ростовская область, город Азов, ул. Дружбы, 7</t>
  </si>
  <si>
    <t>Фамилия, имя, отчество руководителя</t>
  </si>
  <si>
    <t>Бондаренко Александр Сергеевич</t>
  </si>
  <si>
    <t>Ответственный за заполнение формы</t>
  </si>
  <si>
    <t>Фамилия, имя, отчество</t>
  </si>
  <si>
    <t>Ильенко Анна Георгиевна</t>
  </si>
  <si>
    <t>Должность</t>
  </si>
  <si>
    <t>главный экономист</t>
  </si>
  <si>
    <t>Контактный телефон</t>
  </si>
  <si>
    <t>(86342)63902</t>
  </si>
  <si>
    <t>E-mail</t>
  </si>
  <si>
    <t>ympts@bk.ru</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</si>
  <si>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</si>
  <si>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</si>
  <si>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</si>
  <si>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</si>
  <si>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</si>
  <si>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</si>
  <si>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</si>
  <si>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</si>
  <si>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</si>
  <si>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</si>
  <si>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</si>
  <si>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</si>
  <si>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</si>
  <si>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</si>
  <si>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</si>
  <si>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</si>
  <si>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83</t>
  </si>
  <si>
    <t>Город Азов</t>
  </si>
  <si>
    <t>60704000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</si>
  <si>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</si>
  <si>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</si>
  <si>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</si>
  <si>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</si>
  <si>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</si>
  <si>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</si>
  <si>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</si>
  <si>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</si>
  <si>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</si>
  <si>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</si>
  <si>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</si>
  <si>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</si>
  <si>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</si>
  <si>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</si>
  <si>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</si>
  <si>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</si>
  <si>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</si>
  <si>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</si>
  <si>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</si>
  <si>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</si>
  <si>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</si>
  <si>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</si>
  <si>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</si>
  <si>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</si>
  <si>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</si>
  <si>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</si>
  <si>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</si>
  <si>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</si>
  <si>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</si>
  <si>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</si>
  <si>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</si>
  <si>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</si>
  <si>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</si>
  <si>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</si>
  <si>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</si>
  <si>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</si>
  <si>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</si>
  <si>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</si>
  <si>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</si>
  <si>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</si>
  <si>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</si>
  <si>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</si>
  <si>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</si>
  <si>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</si>
  <si>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</si>
  <si>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</si>
  <si>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</si>
  <si>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</si>
  <si>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</si>
  <si>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</si>
  <si>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</si>
  <si>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</si>
  <si>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</si>
  <si>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</si>
  <si>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</si>
  <si>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</si>
  <si>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</si>
  <si>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</si>
  <si>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</si>
  <si>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Тариф на тепловую энергию</t>
  </si>
  <si>
    <t>4190064; 4190068; 4190070</t>
  </si>
  <si>
    <t>pIns_PT_VTAR_B</t>
  </si>
  <si>
    <t>pt_ntar_2</t>
  </si>
  <si>
    <t>pt_ter_2</t>
  </si>
  <si>
    <t>pt_cs_2</t>
  </si>
  <si>
    <t>pt_ist_te_2</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</si>
  <si>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</si>
  <si>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</si>
  <si>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</si>
  <si>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</si>
  <si>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</si>
  <si>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</si>
  <si>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</si>
  <si>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</si>
  <si>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</si>
  <si>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</si>
  <si>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</si>
  <si>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</si>
  <si>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</si>
  <si>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</si>
  <si>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</si>
  <si>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</si>
  <si>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</si>
  <si>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</si>
  <si>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</si>
  <si>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</si>
  <si>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</si>
  <si>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</si>
  <si>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</si>
  <si>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</si>
  <si>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</si>
  <si>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</si>
  <si>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</si>
  <si>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</si>
  <si>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</si>
  <si>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</si>
  <si>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</si>
  <si>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</si>
  <si>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</si>
  <si>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</si>
  <si>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</si>
  <si>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</si>
  <si>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</si>
  <si>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</si>
  <si>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</si>
  <si>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</si>
  <si>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</si>
  <si>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</si>
  <si>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</si>
  <si>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</si>
  <si>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</si>
  <si>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</si>
  <si>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</si>
  <si>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</si>
  <si>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</si>
  <si>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</si>
  <si>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</si>
  <si>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</si>
  <si>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</si>
  <si>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</si>
  <si>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</si>
  <si>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</si>
  <si>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</si>
  <si>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</si>
  <si>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</si>
  <si>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</si>
  <si>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</si>
  <si>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</si>
  <si>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</si>
  <si>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</si>
  <si>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</si>
  <si>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</si>
  <si>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</si>
  <si>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</si>
  <si>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</si>
  <si>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</si>
  <si>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</si>
  <si>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</si>
  <si>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</si>
  <si>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</si>
  <si>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</si>
  <si>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</si>
  <si>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</si>
  <si>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</si>
  <si>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</si>
  <si>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</si>
  <si>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</si>
  <si>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</si>
  <si>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</si>
  <si>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</si>
  <si>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</si>
  <si>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</si>
  <si>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</si>
  <si>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</si>
  <si>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</si>
  <si>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</si>
  <si>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</si>
  <si>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</si>
  <si>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</si>
  <si>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</si>
  <si>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</si>
  <si>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</si>
  <si>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</si>
  <si>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</si>
  <si>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</si>
  <si>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</si>
  <si>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</si>
  <si>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</si>
  <si>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</si>
  <si>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</si>
  <si>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</si>
  <si>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</si>
  <si>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</si>
  <si>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</si>
  <si>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</si>
  <si>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</si>
  <si>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</si>
  <si>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</si>
  <si>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</si>
  <si>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</si>
  <si>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</si>
  <si>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</si>
  <si>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</si>
  <si>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</si>
  <si>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</si>
  <si>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</si>
  <si>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</si>
  <si>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</si>
  <si>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</si>
  <si>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</si>
  <si>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</si>
  <si>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</si>
  <si>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</si>
  <si>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</si>
  <si>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</si>
  <si>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</si>
  <si>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</si>
  <si>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</si>
  <si>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</si>
  <si>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</si>
  <si>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</si>
  <si>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</si>
  <si>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</si>
  <si>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Сведения о присвоении статуса единой теплоснабжающей организации:</t>
  </si>
  <si>
    <t>Информация в строках 5.1 - 5.4 указывается только едиными теплоснабжающими организациями.</t>
  </si>
  <si>
    <t>5.1</t>
  </si>
  <si>
    <t>наименование органа, принявшего решение о присвоении статуса единой теплоснабжающей организации</t>
  </si>
  <si>
    <t>5.2</t>
  </si>
  <si>
    <t>дата решения</t>
  </si>
  <si>
    <t>Дата принятия решения о присвоении статуса единой теплоснабжающей организации указывается в виде «ДД.ММ.ГГГГ».</t>
  </si>
  <si>
    <t>5.3</t>
  </si>
  <si>
    <t>номер решения</t>
  </si>
  <si>
    <t>5.4</t>
  </si>
  <si>
    <t>границы зоны (зон) деятельности</t>
  </si>
  <si>
    <t>Указывается описание зоны (зон) деятельности единой теплоснабжающей организации.</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</si>
  <si>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</si>
  <si>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</si>
  <si>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</si>
  <si>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</si>
  <si>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</si>
  <si>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</si>
  <si>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</si>
  <si>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</si>
  <si>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</si>
  <si>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</si>
  <si>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</si>
  <si>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</si>
  <si>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</si>
  <si>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</si>
  <si>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</si>
  <si>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</si>
  <si>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</si>
  <si>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</si>
  <si>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</si>
  <si>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</si>
  <si>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</si>
  <si>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</si>
  <si>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</si>
  <si>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</si>
  <si>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</si>
  <si>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</si>
  <si>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</si>
  <si>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</si>
  <si>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</si>
  <si>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</si>
  <si>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</si>
  <si>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</si>
  <si>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</si>
  <si>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</si>
  <si>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</si>
  <si>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</si>
  <si>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</si>
  <si>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</si>
  <si>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</si>
  <si>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</si>
  <si>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</si>
  <si>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</si>
  <si>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</si>
  <si>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</si>
  <si>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</si>
  <si>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</si>
  <si>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</si>
  <si>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</si>
  <si>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</si>
  <si>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</si>
  <si>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</si>
  <si>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</si>
  <si>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</si>
  <si>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</si>
  <si>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</si>
  <si>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</si>
  <si>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</si>
  <si>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</si>
  <si>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</si>
  <si>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</si>
  <si>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</si>
  <si>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</si>
  <si>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</si>
  <si>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</si>
  <si>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</si>
  <si>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</si>
  <si>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</si>
  <si>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</si>
  <si>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</si>
  <si>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</si>
  <si>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</si>
  <si>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</si>
  <si>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</si>
  <si>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</si>
  <si>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</si>
  <si>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</si>
  <si>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</si>
  <si>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</si>
  <si>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</si>
  <si>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</si>
  <si>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</si>
  <si>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</si>
  <si>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</si>
  <si>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</si>
  <si>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</si>
  <si>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</si>
  <si>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</si>
  <si>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</si>
  <si>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</si>
  <si>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</si>
  <si>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</si>
  <si>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</si>
  <si>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</si>
  <si>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</si>
  <si>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</si>
  <si>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</si>
  <si>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</si>
  <si>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</si>
  <si>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</si>
  <si>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</si>
  <si>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</si>
  <si>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</si>
  <si>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</si>
  <si>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</si>
  <si>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</si>
  <si>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</si>
  <si>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</si>
  <si>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</si>
  <si>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</si>
  <si>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</si>
  <si>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</si>
  <si>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</si>
  <si>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</si>
  <si>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</si>
  <si>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</si>
  <si>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</si>
  <si>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</si>
  <si>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</si>
  <si>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</si>
  <si>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</si>
  <si>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</si>
  <si>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</si>
  <si>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t>
  </si>
  <si>
    <t>Период действия</t>
  </si>
  <si>
    <t>без дифференциации</t>
  </si>
  <si>
    <t>бюджетные организации</t>
  </si>
  <si>
    <t>вода</t>
  </si>
  <si>
    <t>прочие</t>
  </si>
  <si>
    <t>население</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</si>
  <si>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</si>
  <si>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</si>
  <si>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</si>
  <si>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</si>
  <si>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</si>
  <si>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</si>
  <si>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</si>
  <si>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</si>
  <si>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</si>
  <si>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</si>
  <si>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</si>
  <si>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</si>
  <si>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</si>
  <si>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</si>
  <si>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</si>
  <si>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</si>
  <si>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</si>
  <si>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</si>
  <si>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</si>
  <si>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</si>
  <si>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</si>
  <si>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</si>
  <si>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</si>
  <si>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</si>
  <si>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</si>
  <si>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</si>
  <si>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</si>
  <si>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</si>
  <si>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</si>
  <si>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</si>
  <si>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</si>
  <si>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</si>
  <si>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</si>
  <si>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</si>
  <si>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</si>
  <si>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</si>
  <si>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</si>
  <si>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</si>
  <si>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</si>
  <si>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</si>
  <si>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</si>
  <si>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</si>
  <si>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</si>
  <si>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</si>
  <si>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</si>
  <si>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</si>
  <si>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</si>
  <si>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</si>
  <si>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</si>
  <si>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</si>
  <si>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</si>
  <si>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</si>
  <si>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</si>
  <si>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</si>
  <si>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</si>
  <si>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</si>
  <si>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</si>
  <si>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</si>
  <si>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</si>
  <si>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</si>
  <si>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</si>
  <si>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</si>
  <si>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</si>
  <si>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</si>
  <si>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</si>
  <si>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</si>
  <si>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</si>
  <si>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</si>
  <si>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</si>
  <si>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</si>
  <si>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</si>
  <si>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</si>
  <si>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</si>
  <si>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</si>
  <si>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</si>
  <si>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</si>
  <si>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</si>
  <si>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</si>
  <si>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</si>
  <si>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</si>
  <si>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 xml:space="preserve">Однокомпонентный тариф </t>
  </si>
  <si>
    <t>Двухкомпонентный тариф</t>
  </si>
  <si>
    <t>Однокомпонентный тариф,_x000D_
руб./куб. м</t>
  </si>
  <si>
    <t>значение компонента на тепловую энергию при установленном одноставочном тарифе,_x000D_
руб./Гкал</t>
  </si>
  <si>
    <t>значение компонента на тепловую энергию при установленном двухставочном тарифе на тепловую энергию (мощность),_x000D_
руб./Гкал</t>
  </si>
  <si>
    <t>pt_ist_te_14</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</si>
  <si>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</si>
  <si>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</si>
  <si>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</si>
  <si>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</si>
  <si>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</si>
  <si>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</si>
  <si>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</si>
  <si>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</si>
  <si>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</si>
  <si>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</si>
  <si>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</si>
  <si>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</si>
  <si>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</si>
  <si>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</si>
  <si>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</si>
  <si>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</si>
  <si>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</si>
  <si>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</si>
  <si>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</si>
  <si>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</si>
  <si>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</si>
  <si>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</si>
  <si>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</si>
  <si>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</si>
  <si>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</si>
  <si>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</si>
  <si>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</si>
  <si>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</si>
  <si>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</si>
  <si>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</si>
  <si>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</si>
  <si>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</si>
  <si>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</si>
  <si>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</si>
  <si>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</si>
  <si>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</si>
  <si>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</si>
  <si>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</si>
  <si>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</si>
  <si>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</si>
  <si>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</si>
  <si>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</si>
  <si>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</si>
  <si>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</si>
  <si>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</si>
  <si>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</si>
  <si>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</si>
  <si>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</si>
  <si>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</si>
  <si>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</si>
  <si>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</si>
  <si>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</si>
  <si>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</si>
  <si>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</si>
  <si>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</si>
  <si>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</si>
  <si>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</si>
  <si>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</si>
  <si>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</si>
  <si>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</si>
  <si>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</si>
  <si>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</si>
  <si>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</si>
  <si>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</si>
  <si>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</si>
  <si>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</si>
  <si>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</si>
  <si>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</si>
  <si>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</si>
  <si>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</si>
  <si>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</si>
  <si>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</si>
  <si>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</si>
  <si>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</si>
  <si>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</si>
  <si>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</si>
  <si>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</si>
  <si>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</si>
  <si>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</si>
  <si>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</si>
  <si>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</si>
  <si>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</si>
  <si>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</si>
  <si>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</si>
  <si>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</si>
  <si>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</si>
  <si>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</si>
  <si>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</si>
  <si>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</si>
  <si>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</si>
  <si>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</si>
  <si>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</si>
  <si>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</si>
  <si>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</si>
  <si>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</si>
  <si>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</si>
  <si>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</si>
  <si>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</si>
  <si>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</si>
  <si>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</si>
  <si>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</si>
  <si>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</si>
  <si>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</si>
  <si>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</si>
  <si>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</si>
  <si>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</si>
  <si>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</si>
  <si>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</si>
  <si>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</si>
  <si>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</si>
  <si>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</si>
  <si>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</si>
  <si>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</si>
  <si>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</si>
  <si>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</si>
  <si>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</si>
  <si>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</si>
  <si>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</si>
  <si>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</si>
  <si>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</si>
  <si>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</si>
  <si>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</si>
  <si>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</si>
  <si>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</si>
  <si>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</si>
  <si>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</si>
  <si>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</si>
  <si>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</si>
  <si>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</si>
  <si>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</si>
  <si>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</si>
  <si>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</si>
  <si>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</si>
  <si>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</si>
  <si>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</si>
  <si>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</si>
  <si>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</si>
  <si>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</si>
  <si>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</si>
  <si>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</si>
  <si>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</si>
  <si>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</si>
  <si>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</si>
  <si>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</si>
  <si>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</si>
  <si>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</si>
  <si>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</si>
  <si>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</si>
  <si>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</si>
  <si>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</si>
  <si>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</si>
  <si>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</si>
  <si>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</si>
  <si>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</si>
  <si>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</si>
  <si>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</si>
  <si>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</si>
  <si>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</si>
  <si>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</si>
  <si>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</si>
  <si>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</si>
  <si>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</si>
  <si>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</si>
  <si>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</si>
  <si>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</si>
  <si>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</si>
  <si>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</si>
  <si>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</si>
  <si>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</si>
  <si>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</si>
  <si>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</si>
  <si>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</si>
  <si>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</si>
  <si>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</si>
  <si>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</si>
  <si>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</si>
  <si>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</si>
  <si>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</si>
  <si>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</si>
  <si>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</si>
  <si>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</si>
  <si>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</si>
  <si>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</si>
  <si>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</si>
  <si>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</si>
  <si>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</si>
  <si>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</si>
  <si>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</si>
  <si>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</si>
  <si>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</si>
  <si>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</si>
  <si>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</si>
  <si>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</si>
  <si>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</si>
  <si>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</si>
  <si>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</si>
  <si>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</si>
  <si>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</si>
  <si>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</si>
  <si>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</si>
  <si>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</si>
  <si>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</si>
  <si>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</si>
  <si>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</si>
  <si>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</si>
  <si>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</si>
  <si>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</si>
  <si>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</si>
  <si>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</si>
  <si>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</si>
  <si>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</si>
  <si>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</si>
  <si>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</si>
  <si>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</si>
  <si>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</si>
  <si>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</si>
  <si>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</si>
  <si>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</si>
  <si>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</si>
  <si>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</si>
  <si>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</si>
  <si>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</si>
  <si>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</si>
  <si>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</si>
  <si>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</si>
  <si>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</si>
  <si>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</si>
  <si>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</si>
  <si>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</si>
  <si>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</si>
  <si>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</si>
  <si>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</si>
  <si>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</si>
  <si>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</si>
  <si>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</si>
  <si>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</si>
  <si>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</si>
  <si>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</si>
  <si>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</si>
  <si>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</si>
  <si>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</si>
  <si>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</si>
  <si>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</si>
  <si>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</si>
  <si>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</si>
  <si>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</si>
  <si>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</si>
  <si>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</si>
  <si>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</si>
  <si>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</si>
  <si>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</si>
  <si>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</si>
  <si>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5.3.1</t>
  </si>
  <si>
    <t>5.3.2</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</si>
  <si>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</si>
  <si>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</si>
  <si>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</si>
  <si>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</si>
  <si>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</si>
  <si>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</si>
  <si>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</si>
  <si>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</si>
  <si>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</si>
  <si>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</si>
  <si>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</si>
  <si>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</si>
  <si>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</si>
  <si>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</si>
  <si>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</si>
  <si>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</si>
  <si>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</si>
  <si>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</si>
  <si>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</si>
  <si>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</si>
  <si>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</si>
  <si>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</si>
  <si>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</si>
  <si>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</si>
  <si>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</si>
  <si>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</si>
  <si>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</si>
  <si>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</si>
  <si>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</si>
  <si>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</si>
  <si>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</si>
  <si>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</si>
  <si>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</si>
  <si>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</si>
  <si>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</si>
  <si>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</si>
  <si>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</si>
  <si>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</si>
  <si>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</si>
  <si>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</si>
  <si>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</si>
  <si>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</si>
  <si>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</si>
  <si>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</si>
  <si>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</si>
  <si>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</si>
  <si>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</si>
  <si>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</si>
  <si>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</si>
  <si>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</si>
  <si>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</si>
  <si>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</si>
  <si>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</si>
  <si>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</si>
  <si>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</si>
  <si>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</si>
  <si>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</si>
  <si>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</si>
  <si>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</si>
  <si>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</si>
  <si>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</si>
  <si>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</si>
  <si>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</si>
  <si>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</si>
  <si>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</si>
  <si>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</si>
  <si>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</si>
  <si>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</si>
  <si>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</si>
  <si>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</si>
  <si>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</si>
  <si>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</si>
  <si>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</si>
  <si>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</si>
  <si>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</si>
  <si>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</si>
  <si>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</si>
  <si>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</si>
  <si>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</si>
  <si>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</si>
  <si>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</si>
  <si>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</si>
  <si>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</si>
  <si>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</si>
  <si>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</si>
  <si>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</si>
  <si>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</si>
  <si>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</si>
  <si>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</si>
  <si>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</si>
  <si>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</si>
  <si>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</si>
  <si>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</si>
  <si>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</si>
  <si>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</si>
  <si>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</si>
  <si>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</si>
  <si>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</si>
  <si>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</si>
  <si>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</si>
  <si>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</si>
  <si>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</si>
  <si>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</si>
  <si>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</si>
  <si>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</si>
  <si>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</si>
  <si>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</si>
  <si>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</si>
  <si>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</si>
  <si>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</si>
  <si>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</si>
  <si>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</si>
  <si>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</si>
  <si>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</si>
  <si>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</si>
  <si>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</si>
  <si>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</si>
  <si>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</si>
  <si>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</si>
  <si>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</si>
  <si>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</si>
  <si>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</si>
  <si>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</si>
  <si>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</si>
  <si>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</si>
  <si>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</si>
  <si>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</si>
  <si>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</si>
  <si>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</si>
  <si>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</si>
  <si>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</si>
  <si>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</si>
  <si>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</si>
  <si>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</si>
  <si>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</si>
  <si>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</si>
  <si>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</si>
  <si>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</si>
  <si>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</si>
  <si>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</si>
  <si>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</si>
  <si>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</si>
  <si>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</si>
  <si>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</si>
  <si>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</si>
  <si>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</si>
  <si>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</si>
  <si>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</si>
  <si>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</si>
  <si>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</si>
  <si>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</si>
  <si>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</si>
  <si>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</si>
  <si>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</si>
  <si>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</si>
  <si>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</si>
  <si>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</si>
  <si>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</si>
  <si>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</si>
  <si>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</si>
  <si>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</si>
  <si>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</si>
  <si>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</si>
  <si>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</si>
  <si>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</si>
  <si>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</si>
  <si>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</si>
  <si>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</si>
  <si>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</si>
  <si>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</si>
  <si>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</si>
  <si>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</si>
  <si>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</si>
  <si>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</si>
  <si>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</si>
  <si>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</si>
  <si>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</si>
  <si>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</si>
  <si>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</si>
  <si>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</si>
  <si>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</si>
  <si>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</si>
  <si>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</si>
  <si>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</si>
  <si>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</si>
  <si>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</si>
  <si>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</si>
  <si>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</si>
  <si>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</si>
  <si>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</si>
  <si>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</si>
  <si>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</si>
  <si>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</si>
  <si>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</si>
  <si>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</si>
  <si>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</si>
  <si>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</si>
  <si>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</si>
  <si>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</si>
  <si>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</si>
  <si>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</si>
  <si>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</si>
  <si>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</si>
  <si>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</si>
  <si>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</si>
  <si>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</si>
  <si>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</si>
  <si>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</si>
  <si>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</si>
  <si>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</si>
  <si>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</si>
  <si>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</si>
  <si>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</si>
  <si>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</si>
  <si>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</si>
  <si>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</si>
  <si>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</si>
  <si>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</si>
  <si>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</si>
  <si>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</si>
  <si>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</si>
  <si>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</si>
  <si>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</si>
  <si>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</si>
  <si>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</si>
  <si>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</si>
  <si>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</si>
  <si>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</si>
  <si>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</si>
  <si>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</si>
  <si>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</si>
  <si>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</si>
  <si>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</si>
  <si>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</si>
  <si>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</si>
  <si>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</si>
  <si>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</si>
  <si>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</si>
  <si>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</si>
  <si>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Добавить сведения</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</si>
  <si>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</si>
  <si>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</si>
  <si>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</si>
  <si>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</si>
  <si>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</si>
  <si>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</si>
  <si>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</si>
  <si>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</si>
  <si>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</si>
  <si>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</si>
  <si>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</si>
  <si>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</si>
  <si>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</si>
  <si>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http://teploenergo-azov.ru/yslov.php?id=30</t>
  </si>
  <si>
    <t>https://portal.eias.ru/Portal/DownloadPage.aspx?type=12&amp;guid=d24c14b9-35d5-4f0d-8bd7-11e2f27186b8</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</si>
  <si>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</si>
  <si>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https://portal.eias.ru/Portal/DownloadPage.aspx?type=12&amp;guid=71885457-7a0d-4657-a510-bf7454dddadc</t>
  </si>
  <si>
    <t>Перечень документов и сведений перечислен в "Порядке действия заявителя и МУП "Теплоэнерго" при подаче, приеме, обработке заявки на подключение к тепловой сети, принятии решения и уведомления о принятом решении"</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</si>
  <si>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</si>
  <si>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Федеральный закон РФ от 27.07.2010 №190-ФЗ</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</si>
  <si>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</si>
  <si>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Постановление правительства РФ от 05.07.2018 №787</t>
  </si>
  <si>
    <t>Постановление правительства РФ от 13.02.2006 №83</t>
  </si>
  <si>
    <t>Постановление правительства РФ от 08.08.2012 №808</t>
  </si>
  <si>
    <t>5.1.1</t>
  </si>
  <si>
    <t>(86342)63671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</si>
  <si>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</si>
  <si>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</si>
  <si>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346780, Ростовская область, город Азов, ул. Дружбы, 7 (2 этаж, кабинет ПТО (производственно-технический отдел)</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</si>
  <si>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</si>
  <si>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понедельник-четверг: с 08:00 до 12:00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</si>
  <si>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</si>
  <si>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понедельник-четверг: с 13:00 до 17:00</t>
  </si>
  <si>
    <t>5.3.3</t>
  </si>
  <si>
    <t>пятница: с 08:00 до 12:00</t>
  </si>
  <si>
    <t>5.3.4</t>
  </si>
  <si>
    <t>пятница: с 13:00 до 16:00</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</si>
  <si>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</si>
  <si>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</si>
  <si>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</si>
  <si>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</si>
  <si>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</si>
  <si>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</si>
  <si>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</si>
  <si>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</si>
  <si>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</si>
  <si>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</si>
  <si>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</si>
  <si>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13.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</si>
  <si>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</si>
  <si>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</si>
  <si>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4.1 – 4.3 указывается в случае, если организация имеет статус единой теплоснабжающей организации.</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</si>
  <si>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</si>
  <si>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</si>
  <si>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</si>
  <si>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</si>
  <si>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</si>
  <si>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</si>
  <si>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</si>
  <si>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</si>
  <si>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</si>
  <si>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</si>
  <si>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</si>
  <si>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</si>
  <si>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</si>
  <si>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</si>
  <si>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</si>
  <si>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</si>
  <si>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Наименование органа регулирования тарифов</t>
  </si>
  <si>
    <t>Указывается в соответствии с нормативным правовым актом, на основании которого орган регулирования тарифов образован.</t>
  </si>
  <si>
    <t xml:space="preserve">Фамилия, имя и отчество руководителя: </t>
  </si>
  <si>
    <t>фамилия руководителя</t>
  </si>
  <si>
    <t>Указывается фамилия руководителя в соответствии с паспортными данными физического лица.</t>
  </si>
  <si>
    <t>имя руководителя</t>
  </si>
  <si>
    <t>Указывается имя руководителя в соответствии с паспортными данными физического лица.</t>
  </si>
  <si>
    <t>отчество руководителя</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</si>
  <si>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</si>
  <si>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</si>
  <si>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</si>
  <si>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</si>
  <si>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</si>
  <si>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</si>
  <si>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</si>
  <si>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</si>
  <si>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 xml:space="preserve">Адрес электронной почты </t>
  </si>
  <si>
    <t>При наличии.</t>
  </si>
  <si>
    <t>Наименование организации</t>
  </si>
  <si>
    <t>ОГРН (ОГРНИП)</t>
  </si>
  <si>
    <t>Значение в поле «Наименование организации» содержит наименование юридического лица согласно уставу организации._x000D_
Значение в поле «ИНН» содержит идентификационный номер налогоплательщика._x000D_
Значение в поле «КПП» содержит код постановки на учёт._x000D_
Значение в поле «ОГРН (ОГРНИП)» содержит основной государственный регистрационный номер юридического лица (индивидуального предпринимателя).</t>
  </si>
  <si>
    <t>Добавить организацию</t>
  </si>
  <si>
    <t>дата</t>
  </si>
  <si>
    <t>время</t>
  </si>
  <si>
    <t>место</t>
  </si>
  <si>
    <t>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образован._x000D_
В поле «дата» указывается дата в виде "ДД.ММ.ГГГГ»._x000D_
В поле «место» указывается адрес места проведения заседания (коллегии)._x000D_
В полях «Принятые органом регулирования… » и «Протокол заседания…» указываются ссылка на документ, предварительно загруженный в хранилище файлов ФГИС ЕИАС.</t>
  </si>
  <si>
    <t>Добавить заседание</t>
  </si>
  <si>
    <t>Добавить должностное лицо</t>
  </si>
  <si>
    <t>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t>
  </si>
  <si>
    <t>Наименование юридического лица указывается согласно уставу организации.</t>
  </si>
  <si>
    <t>Указывается краткое описание нарушения с указанием статьи Кодекса Российской Федерации об административных правонарушениях.</t>
  </si>
  <si>
    <t>Указывается результат рассмотрения дела об административном правонарушении (с указанием вида административного наказания).</t>
  </si>
  <si>
    <t>Указывается ссылка на документ, предварительно загруженный в хранилище файлов ФГИС ЕИАС._x000D_
Раскрывается исполнительным органом субъекта Российской Федерации в области государственного регулирования цен (тарифов)</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</si>
  <si>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</si>
  <si>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</si>
  <si>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</si>
  <si>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</si>
  <si>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</si>
  <si>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</si>
  <si>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</si>
  <si>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</si>
  <si>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</si>
  <si>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</si>
  <si>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</si>
  <si>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</si>
  <si>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</si>
  <si>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</si>
  <si>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</si>
  <si>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</si>
  <si>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</si>
  <si>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</si>
  <si>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</si>
  <si>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</si>
  <si>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</si>
  <si>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</si>
  <si>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</si>
  <si>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</si>
  <si>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</si>
  <si>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</si>
  <si>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</si>
  <si>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</si>
  <si>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</si>
  <si>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</si>
  <si>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</si>
  <si>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</si>
  <si>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</si>
  <si>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</si>
  <si>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</si>
  <si>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</si>
  <si>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</si>
  <si>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</si>
  <si>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</si>
  <si>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</si>
  <si>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</si>
  <si>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</si>
  <si>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</si>
  <si>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</si>
  <si>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</si>
  <si>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</si>
  <si>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</si>
  <si>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</si>
  <si>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</si>
  <si>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</si>
  <si>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</si>
  <si>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</si>
  <si>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</si>
  <si>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</si>
  <si>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</si>
  <si>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</si>
  <si>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</si>
  <si>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</si>
  <si>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</si>
  <si>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</si>
  <si>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</si>
  <si>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</si>
  <si>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</si>
  <si>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</si>
  <si>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</si>
  <si>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</si>
  <si>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</si>
  <si>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</si>
  <si>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</si>
  <si>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</si>
  <si>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</si>
  <si>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</si>
  <si>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</si>
  <si>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</si>
  <si>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</si>
  <si>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</si>
  <si>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</si>
  <si>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</si>
  <si>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</si>
  <si>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</si>
  <si>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</si>
  <si>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</si>
  <si>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</si>
  <si>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</si>
  <si>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</si>
  <si>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</si>
  <si>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</si>
  <si>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</si>
  <si>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</si>
  <si>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</si>
  <si>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</si>
  <si>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</si>
  <si>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</si>
  <si>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</si>
  <si>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</si>
  <si>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</si>
  <si>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</si>
  <si>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</si>
  <si>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</si>
  <si>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</si>
  <si>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</si>
  <si>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</si>
  <si>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</si>
  <si>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</si>
  <si>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</si>
  <si>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</si>
  <si>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</si>
  <si>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</si>
  <si>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</si>
  <si>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</si>
  <si>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</si>
  <si>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</si>
  <si>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</si>
  <si>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</si>
  <si>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</si>
  <si>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</si>
  <si>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</si>
  <si>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</si>
  <si>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</si>
  <si>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</si>
  <si>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</si>
  <si>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</si>
  <si>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</si>
  <si>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</si>
  <si>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</si>
  <si>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</si>
  <si>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</si>
  <si>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</si>
  <si>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</si>
  <si>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</si>
  <si>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</si>
  <si>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</si>
  <si>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</si>
  <si>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</si>
  <si>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</si>
  <si>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</si>
  <si>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</si>
  <si>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</si>
  <si>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</si>
  <si>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</si>
  <si>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</si>
  <si>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</si>
  <si>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</si>
  <si>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</si>
  <si>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</si>
  <si>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</si>
  <si>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</si>
  <si>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</si>
  <si>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</si>
  <si>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</si>
  <si>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</si>
  <si>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</si>
  <si>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</si>
  <si>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</si>
  <si>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</si>
  <si>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</si>
  <si>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</si>
  <si>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</si>
  <si>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</si>
  <si>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</si>
  <si>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</si>
  <si>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</si>
  <si>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</si>
  <si>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</si>
  <si>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</si>
  <si>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</si>
  <si>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</si>
  <si>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</si>
  <si>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</si>
  <si>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</si>
  <si>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</si>
  <si>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</si>
  <si>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</si>
  <si>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</si>
  <si>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</si>
  <si>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</si>
  <si>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</si>
  <si>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</si>
  <si>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</si>
  <si>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</si>
  <si>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</si>
  <si>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</si>
  <si>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</si>
  <si>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</si>
  <si>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</si>
  <si>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</si>
  <si>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</si>
  <si>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</si>
  <si>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</si>
  <si>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</si>
  <si>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</si>
  <si>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</si>
  <si>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</si>
  <si>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</si>
  <si>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</si>
  <si>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</si>
  <si>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</si>
  <si>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</si>
  <si>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</si>
  <si>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</si>
  <si>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</si>
  <si>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</si>
  <si>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</si>
  <si>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</si>
  <si>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</si>
  <si>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</si>
  <si>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</si>
  <si>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</si>
  <si>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</si>
  <si>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</si>
  <si>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</si>
  <si>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</si>
  <si>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</si>
  <si>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</si>
  <si>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</si>
  <si>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</si>
  <si>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</si>
  <si>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</si>
  <si>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</si>
  <si>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</si>
  <si>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</si>
  <si>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</si>
  <si>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</si>
  <si>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</si>
  <si>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</si>
  <si>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</si>
  <si>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</si>
  <si>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</si>
  <si>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</si>
  <si>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</si>
  <si>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смешанное налогообложение</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</si>
  <si>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</si>
  <si>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</si>
  <si>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</si>
  <si>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</si>
  <si>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</si>
  <si>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</si>
  <si>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</si>
  <si>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</si>
  <si>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</si>
  <si>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</si>
  <si>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</si>
  <si>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</si>
  <si>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</si>
  <si>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</si>
  <si>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</si>
  <si>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</si>
  <si>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</si>
  <si>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</si>
  <si>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</si>
  <si>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</si>
  <si>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</si>
  <si>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</si>
  <si>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</si>
  <si>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</si>
  <si>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</si>
  <si>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</si>
  <si>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</si>
  <si>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</si>
  <si>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</si>
  <si>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</si>
  <si>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</si>
  <si>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</si>
  <si>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</si>
  <si>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</si>
  <si>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</si>
  <si>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</si>
  <si>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</si>
  <si>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</si>
  <si>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</si>
  <si>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</si>
  <si>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</si>
  <si>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</si>
  <si>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</si>
  <si>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</si>
  <si>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</si>
  <si>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</si>
  <si>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</si>
  <si>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</si>
  <si>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</si>
  <si>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</si>
  <si>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</si>
  <si>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</si>
  <si>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</si>
  <si>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</si>
  <si>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</si>
  <si>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</si>
  <si>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</si>
  <si>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</si>
  <si>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</si>
  <si>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</si>
  <si>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</si>
  <si>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</si>
  <si>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</si>
  <si>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</si>
  <si>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</si>
  <si>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</si>
  <si>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</si>
  <si>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</si>
  <si>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</si>
  <si>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</si>
  <si>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</si>
  <si>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</si>
  <si>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</si>
  <si>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</si>
  <si>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</si>
  <si>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</si>
  <si>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</si>
  <si>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</si>
  <si>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</si>
  <si>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</si>
  <si>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</si>
  <si>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</si>
  <si>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</si>
  <si>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</si>
  <si>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</si>
  <si>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</si>
  <si>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</si>
  <si>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</si>
  <si>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</si>
  <si>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</si>
  <si>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</si>
  <si>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</si>
  <si>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</si>
  <si>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</si>
  <si>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</si>
  <si>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</si>
  <si>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</si>
  <si>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</si>
  <si>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</si>
  <si>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</si>
  <si>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</si>
  <si>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</si>
  <si>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</si>
  <si>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</si>
  <si>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</si>
  <si>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</si>
  <si>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</si>
  <si>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</si>
  <si>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</si>
  <si>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</si>
  <si>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</si>
  <si>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</si>
  <si>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</si>
  <si>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</si>
  <si>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</si>
  <si>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</si>
  <si>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</si>
  <si>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</si>
  <si>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</si>
  <si>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</si>
  <si>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</si>
  <si>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</si>
  <si>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</si>
  <si>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</si>
  <si>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</si>
  <si>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</si>
  <si>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</si>
  <si>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</si>
  <si>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</si>
  <si>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</si>
  <si>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</si>
  <si>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</si>
  <si>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</si>
  <si>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</si>
  <si>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</si>
  <si>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</si>
  <si>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</si>
  <si>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</si>
  <si>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</si>
  <si>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</si>
  <si>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</si>
  <si>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</si>
  <si>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</si>
  <si>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</si>
  <si>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</si>
  <si>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</si>
  <si>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</si>
  <si>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</si>
  <si>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</si>
  <si>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</si>
  <si>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</si>
  <si>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</si>
  <si>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</si>
  <si>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</si>
  <si>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</si>
  <si>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</si>
  <si>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</si>
  <si>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</si>
  <si>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</si>
  <si>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</si>
  <si>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</si>
  <si>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</si>
  <si>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</si>
  <si>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</si>
  <si>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</si>
  <si>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</si>
  <si>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</si>
  <si>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</si>
  <si>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</si>
  <si>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</si>
  <si>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</si>
  <si>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</si>
  <si>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</si>
  <si>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</si>
  <si>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</si>
  <si>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</si>
  <si>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</si>
  <si>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</si>
  <si>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</si>
  <si>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</si>
  <si>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</si>
  <si>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</si>
  <si>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</si>
  <si>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</si>
  <si>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</si>
  <si>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</si>
  <si>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</si>
  <si>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</si>
  <si>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</si>
  <si>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</si>
  <si>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</si>
  <si>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</si>
  <si>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</si>
  <si>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</si>
  <si>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</si>
  <si>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</si>
  <si>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</si>
  <si>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</si>
  <si>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</si>
  <si>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</si>
  <si>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</si>
  <si>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</si>
  <si>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</si>
  <si>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</si>
  <si>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</si>
  <si>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</si>
  <si>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</si>
  <si>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</si>
  <si>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</si>
  <si>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</si>
  <si>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</si>
  <si>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</si>
  <si>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</si>
  <si>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</si>
  <si>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</si>
  <si>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</si>
  <si>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</si>
  <si>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</si>
  <si>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</si>
  <si>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</si>
  <si>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</si>
  <si>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</si>
  <si>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</si>
  <si>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</si>
  <si>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</si>
  <si>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</si>
  <si>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</si>
  <si>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</si>
  <si>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</si>
  <si>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</si>
  <si>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</si>
  <si>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</si>
  <si>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</si>
  <si>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</si>
  <si>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</si>
  <si>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</si>
  <si>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</si>
  <si>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</si>
  <si>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</si>
  <si>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</si>
  <si>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</si>
  <si>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</si>
  <si>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</si>
  <si>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</si>
  <si>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</si>
  <si>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</si>
  <si>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</si>
  <si>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</si>
  <si>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</si>
  <si>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</si>
  <si>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</si>
  <si>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</si>
  <si>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</si>
  <si>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</si>
  <si>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</si>
  <si>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</si>
  <si>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</si>
  <si>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</si>
  <si>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</si>
  <si>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</si>
  <si>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</si>
  <si>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</si>
  <si>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</si>
  <si>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</si>
  <si>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</si>
  <si>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</si>
  <si>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</si>
  <si>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</si>
  <si>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</si>
  <si>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</si>
  <si>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</si>
  <si>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</si>
  <si>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</si>
  <si>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</si>
  <si>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</si>
  <si>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</si>
  <si>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</si>
  <si>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</si>
  <si>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</si>
  <si>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</si>
  <si>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</si>
  <si>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</si>
  <si>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</si>
  <si>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</si>
  <si>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</si>
  <si>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</si>
  <si>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</si>
  <si>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</si>
  <si>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</si>
  <si>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</si>
  <si>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</si>
  <si>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</si>
  <si>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</si>
  <si>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</si>
  <si>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</si>
  <si>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</si>
  <si>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</si>
  <si>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</si>
  <si>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</si>
  <si>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</si>
  <si>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</si>
  <si>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</si>
  <si>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</si>
  <si>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</si>
  <si>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</si>
  <si>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</si>
  <si>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</si>
  <si>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</si>
  <si>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</si>
  <si>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</si>
  <si>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</si>
  <si>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</si>
  <si>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</si>
  <si>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</si>
  <si>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</si>
  <si>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</si>
  <si>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</si>
  <si>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</si>
  <si>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</si>
  <si>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</si>
  <si>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</si>
  <si>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</si>
  <si>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</si>
  <si>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</si>
  <si>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</si>
  <si>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</si>
  <si>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</si>
  <si>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</si>
  <si>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</si>
  <si>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</si>
  <si>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</si>
  <si>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</si>
  <si>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</si>
  <si>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</si>
  <si>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</si>
  <si>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</si>
  <si>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</si>
  <si>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</si>
  <si>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</si>
  <si>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</si>
  <si>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</si>
  <si>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</si>
  <si>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</si>
  <si>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</si>
  <si>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</si>
  <si>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</si>
  <si>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</si>
  <si>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</si>
  <si>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</si>
  <si>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</si>
  <si>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</si>
  <si>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</si>
  <si>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</si>
  <si>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</si>
  <si>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</si>
  <si>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</si>
  <si>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</si>
  <si>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</si>
  <si>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</si>
  <si>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</si>
  <si>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</si>
  <si>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</si>
  <si>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</si>
  <si>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</si>
  <si>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</si>
  <si>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</si>
  <si>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</si>
  <si>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</si>
  <si>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</si>
  <si>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</si>
  <si>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</si>
  <si>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</si>
  <si>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</si>
  <si>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</si>
  <si>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</si>
  <si>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</si>
  <si>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</si>
  <si>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</si>
  <si>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</si>
  <si>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</si>
  <si>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</si>
  <si>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</si>
  <si>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</si>
  <si>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</si>
  <si>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</si>
  <si>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</si>
  <si>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</si>
  <si>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</si>
  <si>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</si>
  <si>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</si>
  <si>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</si>
  <si>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</si>
  <si>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</si>
  <si>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</si>
  <si>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</si>
  <si>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</si>
  <si>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</si>
  <si>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</si>
  <si>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</si>
  <si>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</si>
  <si>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</si>
  <si>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</si>
  <si>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</si>
  <si>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</si>
  <si>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</si>
  <si>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</si>
  <si>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</si>
  <si>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</si>
  <si>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</si>
  <si>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</si>
  <si>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</si>
  <si>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</si>
  <si>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</si>
  <si>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</si>
  <si>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</si>
  <si>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</si>
  <si>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</si>
  <si>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</si>
  <si>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</si>
  <si>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</si>
  <si>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</si>
  <si>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</si>
  <si>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</si>
  <si>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</si>
  <si>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</si>
  <si>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</si>
  <si>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</si>
  <si>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</si>
  <si>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</si>
  <si>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</si>
  <si>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</si>
  <si>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</si>
  <si>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</si>
  <si>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</si>
  <si>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</si>
  <si>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</si>
  <si>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</si>
  <si>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</si>
  <si>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</si>
  <si>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</si>
  <si>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</si>
  <si>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</si>
  <si>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</si>
  <si>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</si>
  <si>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</si>
  <si>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</si>
  <si>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</si>
  <si>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</si>
  <si>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</si>
  <si>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</si>
  <si>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</si>
  <si>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</si>
  <si>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</si>
  <si>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</si>
  <si>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</si>
  <si>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t>
  </si>
  <si>
    <t>HEAT_IP_EVENT_CI_STAGE_LIST</t>
  </si>
  <si>
    <t>VSNA_IP_EVENT_CI_STAGE_LIST</t>
  </si>
  <si>
    <t>VOTV_IP_EVENT_CI_STAGE_LIST</t>
  </si>
  <si>
    <t>OTKO_IP_EVENT_CI_STAGE_LIST</t>
  </si>
  <si>
    <t>информация об органе регулирования и перечень организаций</t>
  </si>
  <si>
    <t>производство тепловой энергии</t>
  </si>
  <si>
    <t>на забор и подъём воды</t>
  </si>
  <si>
    <t>на транспортировку сточных вод</t>
  </si>
  <si>
    <t>сбор</t>
  </si>
  <si>
    <t>информация о делах об установлении тарифов</t>
  </si>
  <si>
    <t>передача теплоэнергии по региональным тепловым сетям</t>
  </si>
  <si>
    <t>на водоподготовку</t>
  </si>
  <si>
    <t>очистка сточных вод</t>
  </si>
  <si>
    <t>накопление</t>
  </si>
  <si>
    <t>информация о привлечение к ответственности</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</si>
  <si>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</si>
  <si>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</si>
  <si>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</si>
  <si>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</si>
  <si>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обработка</t>
  </si>
  <si>
    <t>UNIT_CONNECT_LIST</t>
  </si>
  <si>
    <t>утилизация</t>
  </si>
  <si>
    <t>тыс.руб./Гкал/ч</t>
  </si>
  <si>
    <t>обезвреживание</t>
  </si>
  <si>
    <t>тыс.руб.</t>
  </si>
  <si>
    <t>размещение отходов</t>
  </si>
  <si>
    <t>энергетическая утилизация</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</si>
  <si>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</si>
  <si>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</si>
  <si>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</si>
  <si>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</si>
  <si>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</si>
  <si>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</si>
  <si>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</si>
  <si>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</si>
  <si>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HEAT_PT_SCHEME</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</si>
  <si>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</si>
  <si>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</si>
  <si>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</si>
  <si>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</si>
  <si>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</si>
  <si>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</si>
  <si>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</si>
  <si>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</si>
  <si>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</si>
  <si>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</si>
  <si>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</si>
  <si>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</si>
  <si>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</si>
  <si>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</si>
  <si>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</si>
  <si>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</si>
  <si>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</si>
  <si>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</si>
  <si>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</si>
  <si>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</si>
  <si>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</si>
  <si>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</si>
  <si>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</si>
  <si>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</si>
  <si>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</si>
  <si>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</si>
  <si>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</si>
  <si>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</si>
  <si>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</si>
  <si>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</si>
  <si>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</si>
  <si>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</si>
  <si>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</si>
  <si>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</si>
  <si>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</si>
  <si>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</si>
  <si>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</si>
  <si>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</si>
  <si>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</si>
  <si>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</si>
  <si>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</si>
  <si>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</si>
  <si>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</si>
  <si>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</si>
  <si>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</si>
  <si>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</si>
  <si>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</si>
  <si>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</si>
  <si>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</si>
  <si>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</si>
  <si>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</si>
  <si>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</si>
  <si>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</si>
  <si>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</si>
  <si>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</si>
  <si>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</si>
  <si>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</si>
  <si>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</si>
  <si>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</si>
  <si>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</si>
  <si>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</si>
  <si>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</si>
  <si>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</si>
  <si>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</si>
  <si>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</si>
  <si>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</si>
  <si>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</si>
  <si>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</si>
  <si>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</si>
  <si>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</si>
  <si>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</si>
  <si>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</si>
  <si>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</si>
  <si>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</si>
  <si>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</si>
  <si>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</si>
  <si>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</si>
  <si>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</si>
  <si>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</si>
  <si>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</si>
  <si>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</si>
  <si>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</si>
  <si>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</si>
  <si>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</si>
  <si>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</si>
  <si>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</si>
  <si>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</si>
  <si>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</si>
  <si>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</si>
  <si>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</si>
  <si>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</si>
  <si>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</si>
  <si>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</si>
  <si>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</si>
  <si>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</si>
  <si>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</si>
  <si>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</si>
  <si>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</si>
  <si>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</si>
  <si>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</si>
  <si>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</si>
  <si>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</si>
  <si>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</si>
  <si>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</si>
  <si>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</si>
  <si>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</si>
  <si>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</si>
  <si>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</si>
  <si>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</si>
  <si>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</si>
  <si>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</si>
  <si>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</si>
  <si>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</si>
  <si>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</si>
  <si>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</si>
  <si>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</si>
  <si>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</si>
  <si>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</si>
  <si>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</si>
  <si>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</si>
  <si>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</si>
  <si>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</si>
  <si>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</si>
  <si>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</si>
  <si>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</si>
  <si>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</si>
  <si>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</si>
  <si>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</si>
  <si>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</si>
  <si>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</si>
  <si>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</si>
  <si>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</si>
  <si>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</si>
  <si>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</si>
  <si>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</si>
  <si>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</si>
  <si>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</si>
  <si>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</si>
  <si>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</si>
  <si>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</si>
  <si>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</si>
  <si>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</si>
  <si>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</si>
  <si>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</si>
  <si>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</si>
  <si>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</si>
  <si>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</si>
  <si>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</si>
  <si>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</si>
  <si>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</si>
  <si>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</si>
  <si>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</si>
  <si>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</si>
  <si>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</si>
  <si>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</si>
  <si>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</si>
  <si>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</si>
  <si>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</si>
  <si>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</si>
  <si>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</si>
  <si>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</si>
  <si>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</si>
  <si>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</si>
  <si>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</si>
  <si>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</si>
  <si>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</si>
  <si>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</si>
  <si>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</si>
  <si>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</si>
  <si>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</si>
  <si>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</si>
  <si>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</si>
  <si>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</si>
  <si>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</si>
  <si>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</si>
  <si>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</si>
  <si>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</si>
  <si>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</si>
  <si>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</si>
  <si>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</si>
  <si>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</si>
  <si>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</si>
  <si>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</si>
  <si>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</si>
  <si>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</si>
  <si>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</si>
  <si>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</si>
  <si>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</si>
  <si>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</si>
  <si>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</si>
  <si>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</si>
  <si>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</si>
  <si>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</si>
  <si>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</si>
  <si>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</si>
  <si>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</si>
  <si>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</si>
  <si>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</si>
  <si>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</si>
  <si>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</si>
  <si>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</si>
  <si>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</si>
  <si>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</si>
  <si>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</si>
  <si>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</si>
  <si>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</si>
  <si>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</si>
  <si>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5.1.2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</si>
  <si>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</si>
  <si>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</si>
  <si>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</si>
  <si>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</si>
  <si>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</si>
  <si>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</si>
  <si>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</si>
  <si>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</si>
  <si>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</si>
  <si>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</si>
  <si>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</si>
  <si>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</si>
  <si>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</si>
  <si>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</si>
  <si>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</si>
  <si>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</si>
  <si>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</si>
  <si>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</si>
  <si>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</si>
  <si>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</si>
  <si>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</si>
  <si>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</si>
  <si>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</si>
  <si>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</si>
  <si>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</si>
  <si>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</si>
  <si>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</si>
  <si>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</si>
  <si>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</si>
  <si>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</si>
  <si>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</si>
  <si>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</si>
  <si>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</si>
  <si>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</si>
  <si>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</si>
  <si>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</si>
  <si>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</si>
  <si>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</si>
  <si>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</si>
  <si>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</si>
  <si>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</si>
  <si>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</si>
  <si>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</si>
  <si>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</si>
  <si>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</si>
  <si>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</si>
  <si>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</si>
  <si>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</si>
  <si>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</si>
  <si>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</si>
  <si>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</si>
  <si>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</si>
  <si>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</si>
  <si>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</si>
  <si>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</si>
  <si>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</si>
  <si>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</si>
  <si>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</si>
  <si>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</si>
  <si>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</si>
  <si>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</si>
  <si>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</si>
  <si>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</si>
  <si>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</si>
  <si>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</si>
  <si>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</si>
  <si>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</si>
  <si>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</si>
  <si>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</si>
  <si>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</si>
  <si>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</si>
  <si>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</si>
  <si>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</si>
  <si>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</si>
  <si>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</si>
  <si>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</si>
  <si>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</si>
  <si>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</si>
  <si>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</si>
  <si>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</si>
  <si>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</si>
  <si>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</si>
  <si>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</si>
  <si>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</si>
  <si>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</si>
  <si>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</si>
  <si>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</si>
  <si>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</si>
  <si>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</si>
  <si>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</si>
  <si>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</si>
  <si>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pt_ntar_4p</t>
  </si>
  <si>
    <t>pt_ter_4p</t>
  </si>
  <si>
    <t>pt_cs_4p</t>
  </si>
  <si>
    <t>pt_ist_te_4p</t>
  </si>
  <si>
    <t>pt_vtar_4p</t>
  </si>
  <si>
    <t>pt_ntar_4i</t>
  </si>
  <si>
    <t>pt_ter_4i</t>
  </si>
  <si>
    <t>pt_cs_4i</t>
  </si>
  <si>
    <t>pt_ist_te_4i</t>
  </si>
  <si>
    <t>pt_vtar_4i</t>
  </si>
  <si>
    <r>
      <t>Форма 4.2.5 Информация о плате за подключение к системе теплоснабжения в индивидуальном порядке</t>
    </r>
    <r>
      <rPr>
        <charset val="204"/>
        <family val="2"/>
        <rFont val="Tahoma"/>
        <sz val="10"/>
        <vertAlign val="superscript"/>
      </rPr>
      <t>1</t>
    </r>
  </si>
  <si>
    <t>NDS</t>
  </si>
  <si>
    <t>woNDS</t>
  </si>
  <si>
    <t>Заявитель</t>
  </si>
  <si>
    <t>Наименование объекта, адрес</t>
  </si>
  <si>
    <t>Подключаемая тепловая нагрузка, Гкал/ч</t>
  </si>
  <si>
    <t>Плата за подключение (технологическое присоединение), тыс. руб./Гкал/ч (руб.)</t>
  </si>
  <si>
    <t>Указывается наименование источника тепловой энергии.</t>
  </si>
  <si>
    <t>В колонке «Заявитель» указывается наименование 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категориям потребителей/заявителям информация по ним указывается в отдельных строках._x000D_
В случае дифференциации по периодам действия тарифа информация по ним указывается в отдельных колонках.</t>
  </si>
  <si>
    <t xml:space="preserve">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_x000D_
По данной форме раскрывается в том числе информация о тарифах на товары (услуги) в сфере теплоснабжения в случаях, указанных в частях 12.1 - 12.4 статьи 10 Федерального закона № 190-ФЗ, теплоснабжающей организации, теплосетевой организации в ценовых зонах теплоснабжения._x000D_
</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</si>
  <si>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</si>
  <si>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</si>
  <si>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</si>
  <si>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</si>
  <si>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</si>
  <si>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</si>
  <si>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</si>
  <si>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</si>
  <si>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</si>
  <si>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</si>
  <si>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</si>
  <si>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</si>
  <si>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</si>
  <si>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</si>
  <si>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2625</t>
  </si>
  <si>
    <t>28469397</t>
  </si>
  <si>
    <t>АО "Авиаприборный ремонтный завод"</t>
  </si>
  <si>
    <t>6141032373</t>
  </si>
  <si>
    <t>614101001</t>
  </si>
  <si>
    <t>26445320</t>
  </si>
  <si>
    <t>АО "Азовский оптико-механический завод"</t>
  </si>
  <si>
    <t>6140022069</t>
  </si>
  <si>
    <t>26444834</t>
  </si>
  <si>
    <t>АО "Алюминий Металлург Рус"</t>
  </si>
  <si>
    <t>7709534220</t>
  </si>
  <si>
    <t>614201001</t>
  </si>
  <si>
    <t>28796046</t>
  </si>
  <si>
    <t>АО "ГТ Энерго"</t>
  </si>
  <si>
    <t>7703806647</t>
  </si>
  <si>
    <t>772801001</t>
  </si>
  <si>
    <t>26560525</t>
  </si>
  <si>
    <t>АО "ГУ ЖКХ"</t>
  </si>
  <si>
    <t>5116000922</t>
  </si>
  <si>
    <t>511601001</t>
  </si>
  <si>
    <t>13-05-2009 00:00:00</t>
  </si>
  <si>
    <t>26318885</t>
  </si>
  <si>
    <t>АО "Газпром энергосбыт"</t>
  </si>
  <si>
    <t>7705750968</t>
  </si>
  <si>
    <t>772901001</t>
  </si>
  <si>
    <t>30872564</t>
  </si>
  <si>
    <t>АО "Главное управление обустройства войск"</t>
  </si>
  <si>
    <t>7703702341</t>
  </si>
  <si>
    <t>770401001</t>
  </si>
  <si>
    <t>23-01-2017 00:00:00</t>
  </si>
  <si>
    <t>26640837</t>
  </si>
  <si>
    <t>АО "Желдорреммаш" - филиал Ростовский ЭРЗ</t>
  </si>
  <si>
    <t>7715729877</t>
  </si>
  <si>
    <t>616243001</t>
  </si>
  <si>
    <t>26518197</t>
  </si>
  <si>
    <t>АО "Краснодартеплосеть"</t>
  </si>
  <si>
    <t>2312122495</t>
  </si>
  <si>
    <t>230801001</t>
  </si>
  <si>
    <t>31062216</t>
  </si>
  <si>
    <t>АО "Ростоваэроинвест"</t>
  </si>
  <si>
    <t>6163123680</t>
  </si>
  <si>
    <t>610201001</t>
  </si>
  <si>
    <t>01-01-2018 00:00:00</t>
  </si>
  <si>
    <t>26436677</t>
  </si>
  <si>
    <t>АО "Ростовобувь"</t>
  </si>
  <si>
    <t>6152000503</t>
  </si>
  <si>
    <t>616501001</t>
  </si>
  <si>
    <t>26382583</t>
  </si>
  <si>
    <t>АО "Сервис-ЖКХ"</t>
  </si>
  <si>
    <t>6126101985</t>
  </si>
  <si>
    <t>612601001</t>
  </si>
  <si>
    <t>26457311</t>
  </si>
  <si>
    <t>АО "Теплокоммунэнерго"</t>
  </si>
  <si>
    <t>6165199445</t>
  </si>
  <si>
    <t>615250001</t>
  </si>
  <si>
    <t>26445828</t>
  </si>
  <si>
    <t>АО "Теплоэнергетическое предприятие тепловых сетей "Теплоэнерго"</t>
  </si>
  <si>
    <t>6154023190</t>
  </si>
  <si>
    <t>615401001</t>
  </si>
  <si>
    <t>26572663</t>
  </si>
  <si>
    <t>АО "ФПК"</t>
  </si>
  <si>
    <t>7708709686</t>
  </si>
  <si>
    <t>997650001</t>
  </si>
  <si>
    <t>03-12-2009 00:00:00</t>
  </si>
  <si>
    <t>26457273</t>
  </si>
  <si>
    <t>АО «Донэнерго»</t>
  </si>
  <si>
    <t>6163089292</t>
  </si>
  <si>
    <t>616301001</t>
  </si>
  <si>
    <t>26446563</t>
  </si>
  <si>
    <t>АО «Шахтинский Завод Гидропривод»</t>
  </si>
  <si>
    <t>6155010796</t>
  </si>
  <si>
    <t>615501001</t>
  </si>
  <si>
    <t>31221924</t>
  </si>
  <si>
    <t>Вагонный участок Ростов - структурное подразделение Северо-Кавказского филиала АО "ФПК"</t>
  </si>
  <si>
    <t>616245011</t>
  </si>
  <si>
    <t>26374532</t>
  </si>
  <si>
    <t>Веселовское МУП ЖКХ</t>
  </si>
  <si>
    <t>6106000636</t>
  </si>
  <si>
    <t>610601001</t>
  </si>
  <si>
    <t>26437029</t>
  </si>
  <si>
    <t>ГБОУ СПО РО "Таганрогский авиационный колледж имени В.М. Петлякова"</t>
  </si>
  <si>
    <t>6154029642</t>
  </si>
  <si>
    <t>31506523</t>
  </si>
  <si>
    <t>ГБПОУ РО "Азовский казачий кадетский аграрно-технологический техникум"</t>
  </si>
  <si>
    <t>6140006973</t>
  </si>
  <si>
    <t>13-07-2021 00:00:00</t>
  </si>
  <si>
    <t>26445961</t>
  </si>
  <si>
    <t>ГОУ ВПО Южно-Российский государственный технический университет (Новочеркасский политехнический институт)</t>
  </si>
  <si>
    <t>6150010834</t>
  </si>
  <si>
    <t>615001001</t>
  </si>
  <si>
    <t>28459543</t>
  </si>
  <si>
    <t>ДГТУ</t>
  </si>
  <si>
    <t>6165033136</t>
  </si>
  <si>
    <t>26374535</t>
  </si>
  <si>
    <t>ЕМУП "Коммунальник"</t>
  </si>
  <si>
    <t>6109001290</t>
  </si>
  <si>
    <t>610901001</t>
  </si>
  <si>
    <t>28469409</t>
  </si>
  <si>
    <t>ЗАО "Биоветдон"</t>
  </si>
  <si>
    <t>6165024004</t>
  </si>
  <si>
    <t>28091804</t>
  </si>
  <si>
    <t>ЗАО "Комбинат крупнопанельного домостроения"</t>
  </si>
  <si>
    <t>6168000805</t>
  </si>
  <si>
    <t>26445869</t>
  </si>
  <si>
    <t>ЗАО "Корпорация "Глория Джинс"</t>
  </si>
  <si>
    <t>6166034397</t>
  </si>
  <si>
    <t>26449396</t>
  </si>
  <si>
    <t>ЗАО "Строительное управление - 5"</t>
  </si>
  <si>
    <t>6165006541</t>
  </si>
  <si>
    <t>26449377</t>
  </si>
  <si>
    <t>МБУЗ "ЦРБ Миллеровского района Ростовской области"</t>
  </si>
  <si>
    <t>6149005082</t>
  </si>
  <si>
    <t>614901001</t>
  </si>
  <si>
    <t>26445479</t>
  </si>
  <si>
    <t>МП "Азовводоканал"</t>
  </si>
  <si>
    <t>6140000097</t>
  </si>
  <si>
    <t>31448467</t>
  </si>
  <si>
    <t>МП "ЖКХ" Гигантовского сельского поселения</t>
  </si>
  <si>
    <t>6153027000</t>
  </si>
  <si>
    <t>615301001</t>
  </si>
  <si>
    <t>26382587</t>
  </si>
  <si>
    <t>МП ЖКХ</t>
  </si>
  <si>
    <t>6132000738</t>
  </si>
  <si>
    <t>613201001</t>
  </si>
  <si>
    <t>26445760</t>
  </si>
  <si>
    <t>МП г. Новошахтинска "Коммунальные котельные и тепловые сети"</t>
  </si>
  <si>
    <t>6151009775</t>
  </si>
  <si>
    <t>615101001</t>
  </si>
  <si>
    <t>26382573</t>
  </si>
  <si>
    <t>МУП "Багаевское управление жилищно-коммунального хозяйства"</t>
  </si>
  <si>
    <t>6103000116</t>
  </si>
  <si>
    <t>610301001</t>
  </si>
  <si>
    <t>28868766</t>
  </si>
  <si>
    <t>МУП "Вира"</t>
  </si>
  <si>
    <t>6147006732</t>
  </si>
  <si>
    <t>614701001</t>
  </si>
  <si>
    <t>26374528</t>
  </si>
  <si>
    <t>МУП "Водник" Боковского района</t>
  </si>
  <si>
    <t>6104003871</t>
  </si>
  <si>
    <t>610401001</t>
  </si>
  <si>
    <t>31000381</t>
  </si>
  <si>
    <t>МУП "Городское Хозяйство"</t>
  </si>
  <si>
    <t>6154094137</t>
  </si>
  <si>
    <t>18-01-2005 00:00:00</t>
  </si>
  <si>
    <t>31543382</t>
  </si>
  <si>
    <t>МУП "ЖКХ" Буденновского сельского поселения</t>
  </si>
  <si>
    <t>6153009058</t>
  </si>
  <si>
    <t>01-01-2022 00:00:00</t>
  </si>
  <si>
    <t>31701681</t>
  </si>
  <si>
    <t>МУП "ЖЭУ"</t>
  </si>
  <si>
    <t>6149001480</t>
  </si>
  <si>
    <t>16-10-2023 00:00:00</t>
  </si>
  <si>
    <t>26446617</t>
  </si>
  <si>
    <t>МУП "Жилищно-эксплуатационное управление"</t>
  </si>
  <si>
    <t>6154070665</t>
  </si>
  <si>
    <t>26448791</t>
  </si>
  <si>
    <t>МУП "Каменсктеплосеть"</t>
  </si>
  <si>
    <t>6147006316</t>
  </si>
  <si>
    <t>26374579</t>
  </si>
  <si>
    <t>МУП "Коммунальщик" Глубокинского городского поселения</t>
  </si>
  <si>
    <t>6114007459</t>
  </si>
  <si>
    <t>611401001</t>
  </si>
  <si>
    <t>31043414</t>
  </si>
  <si>
    <t>МУП "Комфортная среда" Сальского городского поселения</t>
  </si>
  <si>
    <t>6153005247</t>
  </si>
  <si>
    <t>21-09-2017 00:00:00</t>
  </si>
  <si>
    <t>26444931</t>
  </si>
  <si>
    <t>МУП "Красносулинские городские теплосети"</t>
  </si>
  <si>
    <t>6148557940</t>
  </si>
  <si>
    <t>614801001</t>
  </si>
  <si>
    <t>30959394</t>
  </si>
  <si>
    <t>МУП "Молодежный" Астаховского сельского поселения</t>
  </si>
  <si>
    <t>6114017190</t>
  </si>
  <si>
    <t>12-09-2017 00:00:00</t>
  </si>
  <si>
    <t>31241624</t>
  </si>
  <si>
    <t>МУП "Новочеркасские тепловые сети"</t>
  </si>
  <si>
    <t>6150097377</t>
  </si>
  <si>
    <t>26445059</t>
  </si>
  <si>
    <t>МУП "Тарасовские тепловые сети"</t>
  </si>
  <si>
    <t>6133002600</t>
  </si>
  <si>
    <t>613301001</t>
  </si>
  <si>
    <t>31298334</t>
  </si>
  <si>
    <t>МУП "Тепло МРЗ"</t>
  </si>
  <si>
    <t>6147040571</t>
  </si>
  <si>
    <t>28-03-2019 00:00:00</t>
  </si>
  <si>
    <t>30354166</t>
  </si>
  <si>
    <t>МУП "Тепловые сети"</t>
  </si>
  <si>
    <t>6154097882</t>
  </si>
  <si>
    <t>31219066</t>
  </si>
  <si>
    <t>МУП "Теплотехник Неклиновского района"</t>
  </si>
  <si>
    <t>6123024348</t>
  </si>
  <si>
    <t>612301001</t>
  </si>
  <si>
    <t>26627408</t>
  </si>
  <si>
    <t>МУП "Теплоэнерго"</t>
  </si>
  <si>
    <t>6139008430</t>
  </si>
  <si>
    <t>613901001</t>
  </si>
  <si>
    <t>30355506</t>
  </si>
  <si>
    <t>МУП "Трамвайно-троллейбусное управление"</t>
  </si>
  <si>
    <t>6154022710</t>
  </si>
  <si>
    <t>26374721</t>
  </si>
  <si>
    <t>МУП "Управление"Водоканал"</t>
  </si>
  <si>
    <t>6154051373</t>
  </si>
  <si>
    <t>30843340</t>
  </si>
  <si>
    <t>МУП АГП "АКСАЙЭНЕРГО"</t>
  </si>
  <si>
    <t>6102066210</t>
  </si>
  <si>
    <t>26374608</t>
  </si>
  <si>
    <t>МУП Большесальского сельского поселения "Коммунальщик"</t>
  </si>
  <si>
    <t>6122010173</t>
  </si>
  <si>
    <t>612201001</t>
  </si>
  <si>
    <t>26374662</t>
  </si>
  <si>
    <t>МУП ВКХ РО Целинского  района</t>
  </si>
  <si>
    <t>6136000070</t>
  </si>
  <si>
    <t>613601001</t>
  </si>
  <si>
    <t>26374620</t>
  </si>
  <si>
    <t>МУП КХ Песчанокопского района</t>
  </si>
  <si>
    <t>6127010900</t>
  </si>
  <si>
    <t>612701001</t>
  </si>
  <si>
    <t>26458650</t>
  </si>
  <si>
    <t>МУП Кагальницкого района "УЮТ"</t>
  </si>
  <si>
    <t>6113016972</t>
  </si>
  <si>
    <t>611301001</t>
  </si>
  <si>
    <t>26446579</t>
  </si>
  <si>
    <t>МУП Константиновского городского поселения "Гарант"</t>
  </si>
  <si>
    <t>6116009324</t>
  </si>
  <si>
    <t>611601001</t>
  </si>
  <si>
    <t>26374564</t>
  </si>
  <si>
    <t>МУП ПЖКХ Зимовниковского района</t>
  </si>
  <si>
    <t>6112000867</t>
  </si>
  <si>
    <t>611201001</t>
  </si>
  <si>
    <t>26452861</t>
  </si>
  <si>
    <t>МУП Пролетарского городского поселения Пролетарского района Ростовской области "Тепловые сети"</t>
  </si>
  <si>
    <t>6128002901</t>
  </si>
  <si>
    <t>612801001</t>
  </si>
  <si>
    <t>26448893</t>
  </si>
  <si>
    <t>26768157</t>
  </si>
  <si>
    <t>Миллеровский филиал АО "Астон"</t>
  </si>
  <si>
    <t>6162015019</t>
  </si>
  <si>
    <t>614943001</t>
  </si>
  <si>
    <t>27946501</t>
  </si>
  <si>
    <t>НП "ОСАК "СТАЛЬ"</t>
  </si>
  <si>
    <t>6166990071</t>
  </si>
  <si>
    <t>616601001</t>
  </si>
  <si>
    <t>26446002</t>
  </si>
  <si>
    <t>ОАО "31 завод авиационного технологического оборудования"</t>
  </si>
  <si>
    <t>6150052190</t>
  </si>
  <si>
    <t>26645111</t>
  </si>
  <si>
    <t>ОАО "Батайское"</t>
  </si>
  <si>
    <t>6101001530</t>
  </si>
  <si>
    <t>610101001</t>
  </si>
  <si>
    <t>27505966</t>
  </si>
  <si>
    <t>ОАО "Вагонная ремонтная компания -3"</t>
  </si>
  <si>
    <t>7708737500</t>
  </si>
  <si>
    <t>770801001</t>
  </si>
  <si>
    <t>26444992</t>
  </si>
  <si>
    <t>ОАО "Водоканал" Матвеево-Курганского района</t>
  </si>
  <si>
    <t>6119009185</t>
  </si>
  <si>
    <t>611901001</t>
  </si>
  <si>
    <t>26436871</t>
  </si>
  <si>
    <t>ОАО "Донмакаронпром"</t>
  </si>
  <si>
    <t>6152000310</t>
  </si>
  <si>
    <t>616701001</t>
  </si>
  <si>
    <t>26446559</t>
  </si>
  <si>
    <t>ОАО "Зерноградские тепловые сети"</t>
  </si>
  <si>
    <t>6111982106</t>
  </si>
  <si>
    <t>611101001</t>
  </si>
  <si>
    <t>30420231</t>
  </si>
  <si>
    <t>ОАО "НПП КП "Квант"</t>
  </si>
  <si>
    <t>6152001056</t>
  </si>
  <si>
    <t>616801001</t>
  </si>
  <si>
    <t>26448939</t>
  </si>
  <si>
    <t>ОАО "Новочеркасскгоргаз"</t>
  </si>
  <si>
    <t>6150009405</t>
  </si>
  <si>
    <t>26448888</t>
  </si>
  <si>
    <t>ОАО "Резметкон"</t>
  </si>
  <si>
    <t>6141004383</t>
  </si>
  <si>
    <t>26374688</t>
  </si>
  <si>
    <t>ОАО "Санаторий Вешенский"</t>
  </si>
  <si>
    <t>6139003209</t>
  </si>
  <si>
    <t>26445651</t>
  </si>
  <si>
    <t>ОАО "Таганрогский завод Прибой"</t>
  </si>
  <si>
    <t>6154093944</t>
  </si>
  <si>
    <t>28077113</t>
  </si>
  <si>
    <t>ОАО "Таганрогский котлостроительный завод "Красный котельщик"</t>
  </si>
  <si>
    <t>6154023009</t>
  </si>
  <si>
    <t>26867887</t>
  </si>
  <si>
    <t>ОАО "Черномортранснефть" филиал Тихорецкое РУМН (НПС Родионовская)</t>
  </si>
  <si>
    <t>2315072242</t>
  </si>
  <si>
    <t>613002001</t>
  </si>
  <si>
    <t>27-04-1999 00:00:00</t>
  </si>
  <si>
    <t>26778073</t>
  </si>
  <si>
    <t>ООО "АКДЭНЕРГО"</t>
  </si>
  <si>
    <t>6102026104</t>
  </si>
  <si>
    <t>26586585</t>
  </si>
  <si>
    <t>ООО "Азовский морской порт"</t>
  </si>
  <si>
    <t>6140001622</t>
  </si>
  <si>
    <t>26436852</t>
  </si>
  <si>
    <t>ООО "Ареал"</t>
  </si>
  <si>
    <t>6167081858</t>
  </si>
  <si>
    <t>01-02-2023 00:00:00</t>
  </si>
  <si>
    <t>31351556</t>
  </si>
  <si>
    <t>ООО "ВОЛГОДОНСКАЯ ТЭЦ-1"</t>
  </si>
  <si>
    <t>6143098108</t>
  </si>
  <si>
    <t>614301001</t>
  </si>
  <si>
    <t>28485857</t>
  </si>
  <si>
    <t>ООО "Вавилон-Сервис"</t>
  </si>
  <si>
    <t>6161045243</t>
  </si>
  <si>
    <t>616101001</t>
  </si>
  <si>
    <t>28422605</t>
  </si>
  <si>
    <t>ООО "Волгодонские тепловые сети"</t>
  </si>
  <si>
    <t>6143081351</t>
  </si>
  <si>
    <t>31-05-2013 00:00:00</t>
  </si>
  <si>
    <t>31464893</t>
  </si>
  <si>
    <t>ООО "Гермес-Сервис"</t>
  </si>
  <si>
    <t>6167081390</t>
  </si>
  <si>
    <t>04-01-2021 00:00:00</t>
  </si>
  <si>
    <t>31597329</t>
  </si>
  <si>
    <t>ООО "ДТС"</t>
  </si>
  <si>
    <t>6141040790</t>
  </si>
  <si>
    <t>01-07-2022 00:00:00</t>
  </si>
  <si>
    <t>27946514</t>
  </si>
  <si>
    <t>ООО "Донская тепловая компания"</t>
  </si>
  <si>
    <t>6168056942</t>
  </si>
  <si>
    <t>14-02-2023 00:00:00</t>
  </si>
  <si>
    <t>31520326</t>
  </si>
  <si>
    <t>ООО "Донтеплоэнерго Север"</t>
  </si>
  <si>
    <t>6149020517</t>
  </si>
  <si>
    <t>12-04-2021 00:00:00</t>
  </si>
  <si>
    <t>31367096</t>
  </si>
  <si>
    <t>ООО "Донтеплоэнерго"</t>
  </si>
  <si>
    <t>6149020281</t>
  </si>
  <si>
    <t>01-01-2019 00:00:00</t>
  </si>
  <si>
    <t>26380977</t>
  </si>
  <si>
    <t>ООО "Жилищник"</t>
  </si>
  <si>
    <t>6130703051</t>
  </si>
  <si>
    <t>613001001</t>
  </si>
  <si>
    <t>31038140</t>
  </si>
  <si>
    <t>ООО "Издательство"МОЛОТ"</t>
  </si>
  <si>
    <t>6168093510</t>
  </si>
  <si>
    <t>31436757</t>
  </si>
  <si>
    <t>ООО "Комфорт"</t>
  </si>
  <si>
    <t>6126012380</t>
  </si>
  <si>
    <t>26525135</t>
  </si>
  <si>
    <t>ООО "ЛУКОЙЛ-Ростовэнерго"</t>
  </si>
  <si>
    <t>6164288981</t>
  </si>
  <si>
    <t>26764871</t>
  </si>
  <si>
    <t>ООО "ЛУКОЙЛ-Экоэнерго"</t>
  </si>
  <si>
    <t>3015087458</t>
  </si>
  <si>
    <t>26382582</t>
  </si>
  <si>
    <t>ООО "МП "Коммунсервис"</t>
  </si>
  <si>
    <t>6122009675</t>
  </si>
  <si>
    <t>26446530</t>
  </si>
  <si>
    <t>ООО "Межмуниципальный Неклиновский водопровод"</t>
  </si>
  <si>
    <t>6123015978</t>
  </si>
  <si>
    <t>13-04-2023 00:00:00</t>
  </si>
  <si>
    <t>31617404</t>
  </si>
  <si>
    <t>ООО "Нефто-Юг"</t>
  </si>
  <si>
    <t>6161059895</t>
  </si>
  <si>
    <t>15-09-2022 00:00:00</t>
  </si>
  <si>
    <t>28821617</t>
  </si>
  <si>
    <t>6165001166</t>
  </si>
  <si>
    <t>26374611</t>
  </si>
  <si>
    <t>ООО "Обливское МТП"</t>
  </si>
  <si>
    <t>6124003816</t>
  </si>
  <si>
    <t>612401001</t>
  </si>
  <si>
    <t>28503896</t>
  </si>
  <si>
    <t>ООО "Приазовский ТеплоЦентр"</t>
  </si>
  <si>
    <t>6154129333</t>
  </si>
  <si>
    <t>26438194</t>
  </si>
  <si>
    <t>ООО "Производственная компания "Новочеркасский электровозостроительный завод"</t>
  </si>
  <si>
    <t>6150040250</t>
  </si>
  <si>
    <t>997450001</t>
  </si>
  <si>
    <t>31399481</t>
  </si>
  <si>
    <t>ООО "Распределенная генерация - Батайск"</t>
  </si>
  <si>
    <t>6141053581</t>
  </si>
  <si>
    <t>31528078</t>
  </si>
  <si>
    <t>ООО "Распределенная генерация - Шахты"</t>
  </si>
  <si>
    <t>6164134621</t>
  </si>
  <si>
    <t>16-11-2021 00:00:00</t>
  </si>
  <si>
    <t>30954389</t>
  </si>
  <si>
    <t>ООО "Распределенная генерация"</t>
  </si>
  <si>
    <t>6163134315</t>
  </si>
  <si>
    <t>11-03-2014 00:00:00</t>
  </si>
  <si>
    <t>31072070</t>
  </si>
  <si>
    <t>ООО "Росткапиталгрупп"</t>
  </si>
  <si>
    <t>6161082340</t>
  </si>
  <si>
    <t>30842909</t>
  </si>
  <si>
    <t>ООО "Ростов логистик"</t>
  </si>
  <si>
    <t>3443923606</t>
  </si>
  <si>
    <t>26764253</t>
  </si>
  <si>
    <t>ООО "Ростовские тепловые сети"</t>
  </si>
  <si>
    <t>3445102073</t>
  </si>
  <si>
    <t>26820290</t>
  </si>
  <si>
    <t>ООО "Ростовтеплоэнерго"  филиал Северный Шолоховский участок</t>
  </si>
  <si>
    <t>6165125852</t>
  </si>
  <si>
    <t>613394001</t>
  </si>
  <si>
    <t>28868862</t>
  </si>
  <si>
    <t>ООО "Ростовтеплоэнерго" филиал "Северный" Тарасовский участок</t>
  </si>
  <si>
    <t>26642800</t>
  </si>
  <si>
    <t>ООО "Ростовтеплоэнерго" филиал Куйбышевского района</t>
  </si>
  <si>
    <t>611745001</t>
  </si>
  <si>
    <t>26457607</t>
  </si>
  <si>
    <t>ООО "Ростовтеплоэнерго" филиал Северный</t>
  </si>
  <si>
    <t>613802001</t>
  </si>
  <si>
    <t>26829643</t>
  </si>
  <si>
    <t>ООО "Ростовтеплоэнерго" филиал Северный Верхнедонской участок</t>
  </si>
  <si>
    <t>610532001</t>
  </si>
  <si>
    <t>26829640</t>
  </si>
  <si>
    <t>ООО "Ростовтеплоэнерго" филиал Северный Кашарский участок</t>
  </si>
  <si>
    <t>611532001</t>
  </si>
  <si>
    <t>26829633</t>
  </si>
  <si>
    <t>ООО "Ростовтеплоэнерго" филиал Северный Миллеровский участок</t>
  </si>
  <si>
    <t>614945001</t>
  </si>
  <si>
    <t>26786996</t>
  </si>
  <si>
    <t>ООО "Ростовтеплоэнерго" филиал Семикаракорского района</t>
  </si>
  <si>
    <t>613245001</t>
  </si>
  <si>
    <t>30843114</t>
  </si>
  <si>
    <t>ООО "СВЕТПРОМГАЗ"</t>
  </si>
  <si>
    <t>6162069230</t>
  </si>
  <si>
    <t>616201001</t>
  </si>
  <si>
    <t>30916594</t>
  </si>
  <si>
    <t>ООО "СЗ ККПД-Инвест"</t>
  </si>
  <si>
    <t>6168014188</t>
  </si>
  <si>
    <t>28976314</t>
  </si>
  <si>
    <t>ООО "Сальскэнергосбыт"</t>
  </si>
  <si>
    <t>6153034270</t>
  </si>
  <si>
    <t>31478099</t>
  </si>
  <si>
    <t>ООО "Северные тепловые сети"</t>
  </si>
  <si>
    <t>6138013758</t>
  </si>
  <si>
    <t>613801001</t>
  </si>
  <si>
    <t>01-12-2020 00:00:00</t>
  </si>
  <si>
    <t>31397120</t>
  </si>
  <si>
    <t>ООО "Седьмой Ветропарк ФРВ"</t>
  </si>
  <si>
    <t>7703474039</t>
  </si>
  <si>
    <t>770301001</t>
  </si>
  <si>
    <t>31451980</t>
  </si>
  <si>
    <t>ООО "ТЕПЛОГАРАНТ"</t>
  </si>
  <si>
    <t>6117009817</t>
  </si>
  <si>
    <t>611701001</t>
  </si>
  <si>
    <t>21-10-2020 00:00:00</t>
  </si>
  <si>
    <t>31521928</t>
  </si>
  <si>
    <t>ООО "ТЕПЛОСЕРВИС ЮГ"</t>
  </si>
  <si>
    <t>6141056529</t>
  </si>
  <si>
    <t>01-10-2021 00:00:00</t>
  </si>
  <si>
    <t>31616109</t>
  </si>
  <si>
    <t>ООО "ТЕХСЕРВИС"</t>
  </si>
  <si>
    <t>9710092669</t>
  </si>
  <si>
    <t>771001001</t>
  </si>
  <si>
    <t>12-09-2022 00:00:00</t>
  </si>
  <si>
    <t>30802811</t>
  </si>
  <si>
    <t>ООО "ТЭЦ-1"</t>
  </si>
  <si>
    <t>6143087498</t>
  </si>
  <si>
    <t>31185022</t>
  </si>
  <si>
    <t>ООО "Таганрогская генерирующая компания"</t>
  </si>
  <si>
    <t>6154150744</t>
  </si>
  <si>
    <t>28868003</t>
  </si>
  <si>
    <t>ООО "Тагстройсервис"</t>
  </si>
  <si>
    <t>6154558967</t>
  </si>
  <si>
    <t>26445942</t>
  </si>
  <si>
    <t>ООО "Тепловые сети"</t>
  </si>
  <si>
    <t>6125024777</t>
  </si>
  <si>
    <t>612501001</t>
  </si>
  <si>
    <t>30992135</t>
  </si>
  <si>
    <t>ООО "Теплонасосные системы"</t>
  </si>
  <si>
    <t>6151019526</t>
  </si>
  <si>
    <t>04-04-2016 00:00:00</t>
  </si>
  <si>
    <t>31443685</t>
  </si>
  <si>
    <t>ООО "Теплотранс"</t>
  </si>
  <si>
    <t>6153008505</t>
  </si>
  <si>
    <t>28446793</t>
  </si>
  <si>
    <t>ООО "Топливно - Энергетическая компания"</t>
  </si>
  <si>
    <t>6154088327</t>
  </si>
  <si>
    <t>09-03-2023 00:00:00</t>
  </si>
  <si>
    <t>31514666</t>
  </si>
  <si>
    <t>ООО "УК "МАЦОТЫ"</t>
  </si>
  <si>
    <t>6150097948</t>
  </si>
  <si>
    <t>01-09-2021 00:00:00</t>
  </si>
  <si>
    <t>30383281</t>
  </si>
  <si>
    <t>ООО "УК "Сокол-Энергосбыт"</t>
  </si>
  <si>
    <t>6162058855</t>
  </si>
  <si>
    <t>26764274</t>
  </si>
  <si>
    <t>ООО "Управление жилищно-коммунальное хозяйство"</t>
  </si>
  <si>
    <t>6125028690</t>
  </si>
  <si>
    <t>26764720</t>
  </si>
  <si>
    <t>ООО "Управляющая компания "Жилкомсервис"</t>
  </si>
  <si>
    <t>6135007675</t>
  </si>
  <si>
    <t>613501001</t>
  </si>
  <si>
    <t>26448923</t>
  </si>
  <si>
    <t>ООО "Фирма "ТОК"</t>
  </si>
  <si>
    <t>6150016240</t>
  </si>
  <si>
    <t>26436687</t>
  </si>
  <si>
    <t>ООО "Фирма Кристина"</t>
  </si>
  <si>
    <t>6166014129</t>
  </si>
  <si>
    <t>26449191</t>
  </si>
  <si>
    <t>ООО "Шахтинская ГТЭС"</t>
  </si>
  <si>
    <t>6155043551</t>
  </si>
  <si>
    <t>26437000</t>
  </si>
  <si>
    <t>ООО "ЭКО"</t>
  </si>
  <si>
    <t>6121995802</t>
  </si>
  <si>
    <t>612101001</t>
  </si>
  <si>
    <t>28002777</t>
  </si>
  <si>
    <t>ООО "Элита Сервис"</t>
  </si>
  <si>
    <t>6162042118</t>
  </si>
  <si>
    <t>31337753</t>
  </si>
  <si>
    <t>ООО «Азовская ВЭС»</t>
  </si>
  <si>
    <t>7722851324</t>
  </si>
  <si>
    <t>26448728</t>
  </si>
  <si>
    <t>ООО «Ростсельмашэнерго»</t>
  </si>
  <si>
    <t>6166047727</t>
  </si>
  <si>
    <t>31663966</t>
  </si>
  <si>
    <t>ООО ИЦ "ГиСМ"</t>
  </si>
  <si>
    <t>6166067057</t>
  </si>
  <si>
    <t>20-03-2023 00:00:00</t>
  </si>
  <si>
    <t>30354171</t>
  </si>
  <si>
    <t>ООО ММП ЖКХ "Содружество"</t>
  </si>
  <si>
    <t>6107008902</t>
  </si>
  <si>
    <t>610701001</t>
  </si>
  <si>
    <t>30866798</t>
  </si>
  <si>
    <t>ОП "Ростовское" АО "ГУ ЖКХ"</t>
  </si>
  <si>
    <t>616545001</t>
  </si>
  <si>
    <t>27332164</t>
  </si>
  <si>
    <t>ПАО "ТАНТК им. Г.М. Бериева"</t>
  </si>
  <si>
    <t>6154028021</t>
  </si>
  <si>
    <t>26764261</t>
  </si>
  <si>
    <t>Производственное отделение "Южные электрические сети" филиала ПАО "Россети Юг" - "Ростовэнерго"</t>
  </si>
  <si>
    <t>6164266561</t>
  </si>
  <si>
    <t>614032001</t>
  </si>
  <si>
    <t>РЕГИОНАЛЬНАЯ СЛУЖБА ПО ТАРИФАМ РОСТОВСКОЙ ОБЛАСТИ</t>
  </si>
  <si>
    <t>6167051941</t>
  </si>
  <si>
    <t>27670503</t>
  </si>
  <si>
    <t>Ростовская дистанция гражданских сооружений</t>
  </si>
  <si>
    <t>7708503727</t>
  </si>
  <si>
    <t>616745017</t>
  </si>
  <si>
    <t>30934010</t>
  </si>
  <si>
    <t>Ростовская таможня</t>
  </si>
  <si>
    <t>6102020818</t>
  </si>
  <si>
    <t>26816056</t>
  </si>
  <si>
    <t>Северо-Кавказская дирекция по тепловодоснабжению структурное подразделение Центральной дирекции по тепловодоснабжению - филиала ОАО "РЖД"</t>
  </si>
  <si>
    <t>616745019</t>
  </si>
  <si>
    <t>26647132</t>
  </si>
  <si>
    <t>ТСЖ "Инструментальщик"</t>
  </si>
  <si>
    <t>6166071913</t>
  </si>
  <si>
    <t>27332293</t>
  </si>
  <si>
    <t>Таганрогский Технологический Институт ФГАО УВО ЮФУ</t>
  </si>
  <si>
    <t>6163027810</t>
  </si>
  <si>
    <t>615431003</t>
  </si>
  <si>
    <t>28545641</t>
  </si>
  <si>
    <t>Таганрогский институт имени А.П. Чехова (филиал) ФГБОУ ВПО "РГЭУ (РИНХ)"</t>
  </si>
  <si>
    <t>6163022805</t>
  </si>
  <si>
    <t>28818951</t>
  </si>
  <si>
    <t>УМП ЖКХ "Азовское"</t>
  </si>
  <si>
    <t>6101932120</t>
  </si>
  <si>
    <t>26452251</t>
  </si>
  <si>
    <t>УМП ЖКХ Кулешовского сельского поселения</t>
  </si>
  <si>
    <t>6101037745</t>
  </si>
  <si>
    <t>26374648</t>
  </si>
  <si>
    <t>Углегорское МПП ЖКХ</t>
  </si>
  <si>
    <t>6134007633</t>
  </si>
  <si>
    <t>613401001</t>
  </si>
  <si>
    <t>26437044</t>
  </si>
  <si>
    <t>ФГАОУ ВО "ЮФУ"</t>
  </si>
  <si>
    <t>616402001</t>
  </si>
  <si>
    <t>30903763</t>
  </si>
  <si>
    <t>ФГБУ "ЦЖКУ" МИНОБОРОНЫ РОССИИ</t>
  </si>
  <si>
    <t>7729314745</t>
  </si>
  <si>
    <t>770101001</t>
  </si>
  <si>
    <t>30923515</t>
  </si>
  <si>
    <t>ФГБУ "Центральное жилищно-коммунальное управление" Министерства обороны РФ</t>
  </si>
  <si>
    <t>616543001</t>
  </si>
  <si>
    <t>14-11-2002 00:00:00</t>
  </si>
  <si>
    <t>31601428</t>
  </si>
  <si>
    <t>ФКУЗ "Ростовский-на-Дону Противочумный институт Роспотребнадзора"</t>
  </si>
  <si>
    <t>6164101841</t>
  </si>
  <si>
    <t>616401001</t>
  </si>
  <si>
    <t>04-08-2022 00:00:00</t>
  </si>
  <si>
    <t>31215611</t>
  </si>
  <si>
    <t>Филиал АО "Донэнерго" - "Тепловые сети"</t>
  </si>
  <si>
    <t>27666876</t>
  </si>
  <si>
    <t>Филиал АО "Концерн Росэнергоатом" Ростовская атомная станция</t>
  </si>
  <si>
    <t>7721632827</t>
  </si>
  <si>
    <t>614343002</t>
  </si>
  <si>
    <t>28506895</t>
  </si>
  <si>
    <t>Филиал ООО "Сириус" в г. Новочеркасске</t>
  </si>
  <si>
    <t>7714652646</t>
  </si>
  <si>
    <t>615045001</t>
  </si>
  <si>
    <t>31513265</t>
  </si>
  <si>
    <t>Филиал ООО «Пивоваренная компания «Балтика»</t>
  </si>
  <si>
    <t>7802849641</t>
  </si>
  <si>
    <t>780201002</t>
  </si>
  <si>
    <t>26449347</t>
  </si>
  <si>
    <t>Филиал ПАО "ОГК-2" Новочеркасская ГРЭС</t>
  </si>
  <si>
    <t>2607018122</t>
  </si>
  <si>
    <t>615043001</t>
  </si>
  <si>
    <t>26445675</t>
  </si>
  <si>
    <t>производственное отделение "Юго-Западные электрические сети" филиала ПАО "МРСК Юга" - "Ростовэнерго"</t>
  </si>
  <si>
    <t>615431001</t>
  </si>
  <si>
    <t>31601414</t>
  </si>
  <si>
    <t>филиал ООО "ЭЛ-6" г. Новочеркасск</t>
  </si>
  <si>
    <t>9705126016</t>
  </si>
  <si>
    <t>31539827</t>
  </si>
  <si>
    <t>ООО "Распределенная генерация-Шахты"</t>
  </si>
  <si>
    <t>22-12-2021 00:00:00</t>
  </si>
  <si>
    <t>26438289</t>
  </si>
  <si>
    <t>АО "Ростовводоканал"</t>
  </si>
  <si>
    <t>6167081833</t>
  </si>
  <si>
    <t>26374530</t>
  </si>
  <si>
    <t>Верхнедонское МП ПУЖКХ</t>
  </si>
  <si>
    <t>6105002888</t>
  </si>
  <si>
    <t>610501001</t>
  </si>
  <si>
    <t>28144792</t>
  </si>
  <si>
    <t>ГУП РО "УРСВ"</t>
  </si>
  <si>
    <t>6167110467</t>
  </si>
  <si>
    <t>15-02-2013 00:00:00</t>
  </si>
  <si>
    <t>31005255</t>
  </si>
  <si>
    <t>ЗАО "АБВК-Эко"</t>
  </si>
  <si>
    <t>6167123547</t>
  </si>
  <si>
    <t>01-02-2017 00:00:00</t>
  </si>
  <si>
    <t>26767154</t>
  </si>
  <si>
    <t>ЗАО "Агрофирма "Новый Путь"</t>
  </si>
  <si>
    <t>6123009879</t>
  </si>
  <si>
    <t>28828882</t>
  </si>
  <si>
    <t>ИП Смольников В.М.</t>
  </si>
  <si>
    <t>610700732500</t>
  </si>
  <si>
    <t>31695621</t>
  </si>
  <si>
    <t>МКУ ЗР "Управление архитектуры, строительства и муниципального хозяйства"</t>
  </si>
  <si>
    <t>6111013528</t>
  </si>
  <si>
    <t>14-04-2023 00:00:00</t>
  </si>
  <si>
    <t>30905244</t>
  </si>
  <si>
    <t>МП "Кашарский ЖКС"</t>
  </si>
  <si>
    <t>6115000696</t>
  </si>
  <si>
    <t>611501001</t>
  </si>
  <si>
    <t>31456023</t>
  </si>
  <si>
    <t>МУП  "ВОДОКАНАЛ Миллерово"</t>
  </si>
  <si>
    <t>6149020443</t>
  </si>
  <si>
    <t>31038703</t>
  </si>
  <si>
    <t>МУП "АТП"</t>
  </si>
  <si>
    <t>6120003773</t>
  </si>
  <si>
    <t>612001001</t>
  </si>
  <si>
    <t>26374590</t>
  </si>
  <si>
    <t>МУП "Водник"</t>
  </si>
  <si>
    <t>6116008240</t>
  </si>
  <si>
    <t>31005161</t>
  </si>
  <si>
    <t>МУП "Водоканал Неклиновского района"</t>
  </si>
  <si>
    <t>6123024161</t>
  </si>
  <si>
    <t>15-11-2017 00:00:00</t>
  </si>
  <si>
    <t>30912745</t>
  </si>
  <si>
    <t>МУП "Водоканал"</t>
  </si>
  <si>
    <t>6117009648</t>
  </si>
  <si>
    <t>12-01-2017 00:00:00</t>
  </si>
  <si>
    <t>30839662</t>
  </si>
  <si>
    <t>6119007974</t>
  </si>
  <si>
    <t>26456900</t>
  </si>
  <si>
    <t>6143049157</t>
  </si>
  <si>
    <t>614301010</t>
  </si>
  <si>
    <t>26545799</t>
  </si>
  <si>
    <t>МУП "Вознесенское ЖКХ"</t>
  </si>
  <si>
    <t>6121995626</t>
  </si>
  <si>
    <t>27-06-2023 00:00:00</t>
  </si>
  <si>
    <t>26381004</t>
  </si>
  <si>
    <t>МУП "Горводоканал"</t>
  </si>
  <si>
    <t>6150031979</t>
  </si>
  <si>
    <t>26374591</t>
  </si>
  <si>
    <t>МУП "ИСТОК" Николаевское сельское поселение</t>
  </si>
  <si>
    <t>6116009437</t>
  </si>
  <si>
    <t>31218600</t>
  </si>
  <si>
    <t>МУП "Исток"</t>
  </si>
  <si>
    <t>6145004225</t>
  </si>
  <si>
    <t>614501001</t>
  </si>
  <si>
    <t>12-10-2018 00:00:00</t>
  </si>
  <si>
    <t>26380988</t>
  </si>
  <si>
    <t>МУП "Коммунальщик"</t>
  </si>
  <si>
    <t>6138006126</t>
  </si>
  <si>
    <t>26545813</t>
  </si>
  <si>
    <t>МУП "МПО ЖКХ Миллеровского района"</t>
  </si>
  <si>
    <t>6149000694</t>
  </si>
  <si>
    <t>31005081</t>
  </si>
  <si>
    <t>МУП "Мясниковское ВКХ"</t>
  </si>
  <si>
    <t>6122018937</t>
  </si>
  <si>
    <t>03-04-2017 00:00:00</t>
  </si>
  <si>
    <t>26452176</t>
  </si>
  <si>
    <t>МУП "Родничок"</t>
  </si>
  <si>
    <t>6128009093</t>
  </si>
  <si>
    <t>31229221</t>
  </si>
  <si>
    <t>МУП "Транс-Сервис"</t>
  </si>
  <si>
    <t>6124003069</t>
  </si>
  <si>
    <t>16-11-2018 00:00:00</t>
  </si>
  <si>
    <t>31420378</t>
  </si>
  <si>
    <t>МУП "УВКХ Морозовского района"</t>
  </si>
  <si>
    <t>6121000013</t>
  </si>
  <si>
    <t>01-01-2020 00:00:00</t>
  </si>
  <si>
    <t>30378150</t>
  </si>
  <si>
    <t>МУП «Пролетарский водоканал»</t>
  </si>
  <si>
    <t>6128009505</t>
  </si>
  <si>
    <t>26374639</t>
  </si>
  <si>
    <t>МУП ЖКХ "Гранит"</t>
  </si>
  <si>
    <t>6132010817</t>
  </si>
  <si>
    <t>27673858</t>
  </si>
  <si>
    <t>МУП ЖКХ "Станица"</t>
  </si>
  <si>
    <t>6134011774</t>
  </si>
  <si>
    <t>17-10-2011 00:00:00</t>
  </si>
  <si>
    <t>26374640</t>
  </si>
  <si>
    <t>МУП ЖКХ "Тарасовское"</t>
  </si>
  <si>
    <t>6133000280</t>
  </si>
  <si>
    <t>26458646</t>
  </si>
  <si>
    <t>МУП ЖКХ Кагальницкого сельского поселения</t>
  </si>
  <si>
    <t>6113014830</t>
  </si>
  <si>
    <t>26637044</t>
  </si>
  <si>
    <t>МУП ЖКХ"Мартыновское" Мартыновского района</t>
  </si>
  <si>
    <t>6118011304</t>
  </si>
  <si>
    <t>611801001</t>
  </si>
  <si>
    <t>03-12-2007 00:00:00</t>
  </si>
  <si>
    <t>26374550</t>
  </si>
  <si>
    <t>МУП Заветинское ПЖКХ</t>
  </si>
  <si>
    <t>6110002379</t>
  </si>
  <si>
    <t>611001001</t>
  </si>
  <si>
    <t>26455241</t>
  </si>
  <si>
    <t>МУП Зерноградского городского поселения "Зерноградское ПП ЖКХ"</t>
  </si>
  <si>
    <t>6111007517</t>
  </si>
  <si>
    <t>11-10-2017 00:00:00</t>
  </si>
  <si>
    <t>26374632</t>
  </si>
  <si>
    <t>МУП Родионово-Несветайского района "Водоканал"</t>
  </si>
  <si>
    <t>6130003821</t>
  </si>
  <si>
    <t>26374633</t>
  </si>
  <si>
    <t>МУП СР РО "Коммунальщик"</t>
  </si>
  <si>
    <t>6131001104</t>
  </si>
  <si>
    <t>613101001</t>
  </si>
  <si>
    <t>26374636</t>
  </si>
  <si>
    <t>Муниципальное унитарное предприятие "Водоканал"</t>
  </si>
  <si>
    <t>6132010260</t>
  </si>
  <si>
    <t>26544099</t>
  </si>
  <si>
    <t>Муниципальное унитарное предприятие "Отрог"</t>
  </si>
  <si>
    <t>6139008422</t>
  </si>
  <si>
    <t>26380958</t>
  </si>
  <si>
    <t>ОАО "Аксайская ПМК РСВС"</t>
  </si>
  <si>
    <t>6102007550</t>
  </si>
  <si>
    <t>26458325</t>
  </si>
  <si>
    <t>ОАО "Алмаз"</t>
  </si>
  <si>
    <t>6166055693</t>
  </si>
  <si>
    <t>26526775</t>
  </si>
  <si>
    <t>ОАО "Аэропорт Ростов-НА-Дону"</t>
  </si>
  <si>
    <t>6166011054</t>
  </si>
  <si>
    <t>26374616</t>
  </si>
  <si>
    <t>ОАО "ВКХ"</t>
  </si>
  <si>
    <t>6126102058</t>
  </si>
  <si>
    <t>14-11-2011 00:00:00</t>
  </si>
  <si>
    <t>26380997</t>
  </si>
  <si>
    <t>ОАО "Исток"</t>
  </si>
  <si>
    <t>6147005538</t>
  </si>
  <si>
    <t>26374719</t>
  </si>
  <si>
    <t>ООО  "Родник"</t>
  </si>
  <si>
    <t>6153024850</t>
  </si>
  <si>
    <t>31465779</t>
  </si>
  <si>
    <t>ООО "Алексеево"</t>
  </si>
  <si>
    <t>6163129273</t>
  </si>
  <si>
    <t>01-01-2021 00:00:00</t>
  </si>
  <si>
    <t>28967625</t>
  </si>
  <si>
    <t>ООО "Вектор"</t>
  </si>
  <si>
    <t>6134012305</t>
  </si>
  <si>
    <t>26374614</t>
  </si>
  <si>
    <t>ООО "Вода и стоки"</t>
  </si>
  <si>
    <t>6125021991</t>
  </si>
  <si>
    <t>31469223</t>
  </si>
  <si>
    <t>ООО "Водоканал"</t>
  </si>
  <si>
    <t>6147041222</t>
  </si>
  <si>
    <t>27-07-2020 00:00:00</t>
  </si>
  <si>
    <t>26374527</t>
  </si>
  <si>
    <t>ООО "Водоканал" (Багаевское с. п.)</t>
  </si>
  <si>
    <t>6103600191</t>
  </si>
  <si>
    <t>28791610</t>
  </si>
  <si>
    <t>ООО "Водолей"</t>
  </si>
  <si>
    <t>6136008985</t>
  </si>
  <si>
    <t>26826815</t>
  </si>
  <si>
    <t>ООО "Газпром трансгаз-Краснодар"</t>
  </si>
  <si>
    <t>2308128945</t>
  </si>
  <si>
    <t>610202001</t>
  </si>
  <si>
    <t>28817820</t>
  </si>
  <si>
    <t>ООО "КЭСК"</t>
  </si>
  <si>
    <t>2308101615</t>
  </si>
  <si>
    <t>231101001</t>
  </si>
  <si>
    <t>31354129</t>
  </si>
  <si>
    <t>ООО "Каменский водоканал"</t>
  </si>
  <si>
    <t>6147040469</t>
  </si>
  <si>
    <t>11-11-2019 00:00:00</t>
  </si>
  <si>
    <t>31151913</t>
  </si>
  <si>
    <t>ООО "Консалтинг Профи"</t>
  </si>
  <si>
    <t>6167130745</t>
  </si>
  <si>
    <t>15-06-2018 00:00:00</t>
  </si>
  <si>
    <t>31497122</t>
  </si>
  <si>
    <t>ООО "Нептун"</t>
  </si>
  <si>
    <t>6168105741</t>
  </si>
  <si>
    <t>20-04-2021 00:00:00</t>
  </si>
  <si>
    <t>28536403</t>
  </si>
  <si>
    <t>ООО "СВ"</t>
  </si>
  <si>
    <t>6102060024</t>
  </si>
  <si>
    <t>31623555</t>
  </si>
  <si>
    <t>ООО "Сальский Водоканал"</t>
  </si>
  <si>
    <t>6153009185</t>
  </si>
  <si>
    <t>23-08-2022 00:00:00</t>
  </si>
  <si>
    <t>27746269</t>
  </si>
  <si>
    <t>ООО "Технология"</t>
  </si>
  <si>
    <t>3433008206</t>
  </si>
  <si>
    <t>612145001</t>
  </si>
  <si>
    <t>28817750</t>
  </si>
  <si>
    <t>ООО "Юг Руси - Золотая семечка"</t>
  </si>
  <si>
    <t>6162030264</t>
  </si>
  <si>
    <t>30795438</t>
  </si>
  <si>
    <t>ООО "ЯДРО"</t>
  </si>
  <si>
    <t>6125031421</t>
  </si>
  <si>
    <t>26636709</t>
  </si>
  <si>
    <t>ООО Агртехсервис "Краснодесантское"</t>
  </si>
  <si>
    <t>6123001291</t>
  </si>
  <si>
    <t>29-10-2002 00:00:00</t>
  </si>
  <si>
    <t>30858712</t>
  </si>
  <si>
    <t>ООО УК "НИП"</t>
  </si>
  <si>
    <t>6150079096</t>
  </si>
  <si>
    <t>31465764</t>
  </si>
  <si>
    <t>Общество с ограниченной ответственностью «Экологические технологии»</t>
  </si>
  <si>
    <t>9701103804</t>
  </si>
  <si>
    <t>30427450</t>
  </si>
  <si>
    <t>ПАО "ТАГМЕТ"</t>
  </si>
  <si>
    <t>6154011797</t>
  </si>
  <si>
    <t>26374716</t>
  </si>
  <si>
    <t>ПК "Родник"</t>
  </si>
  <si>
    <t>6153022732</t>
  </si>
  <si>
    <t>26374601</t>
  </si>
  <si>
    <t>СПК (колхоз) Колос"</t>
  </si>
  <si>
    <t>6119002743</t>
  </si>
  <si>
    <t>26452243</t>
  </si>
  <si>
    <t>УМП "Приморский водопровод"</t>
  </si>
  <si>
    <t>6101000150</t>
  </si>
  <si>
    <t>28857555</t>
  </si>
  <si>
    <t>АО "АБВК эко"</t>
  </si>
  <si>
    <t>6167146110</t>
  </si>
  <si>
    <t>28859417</t>
  </si>
  <si>
    <t>ГБУ РО "Дезинфекционная станция"</t>
  </si>
  <si>
    <t>6165034355</t>
  </si>
  <si>
    <t>31695613</t>
  </si>
  <si>
    <t>МП "БЛАГОУСТРОИТЕЛЬ"</t>
  </si>
  <si>
    <t>6125025481</t>
  </si>
  <si>
    <t>19-09-2023 00:00:00</t>
  </si>
  <si>
    <t>26454355</t>
  </si>
  <si>
    <t>ОАО "КХ"</t>
  </si>
  <si>
    <t>6126102033</t>
  </si>
  <si>
    <t>03-11-2011 00:00:00</t>
  </si>
  <si>
    <t>26776286</t>
  </si>
  <si>
    <t>ООО "Азов ВКС ЮГ"</t>
  </si>
  <si>
    <t>6140030687</t>
  </si>
  <si>
    <t>30905822</t>
  </si>
  <si>
    <t>ООО "Водные ресурсы"</t>
  </si>
  <si>
    <t>6166100113</t>
  </si>
  <si>
    <t>616610011</t>
  </si>
  <si>
    <t>26438374</t>
  </si>
  <si>
    <t>ООО "Очистные сооружения"</t>
  </si>
  <si>
    <t>6155041000</t>
  </si>
  <si>
    <t>31507852</t>
  </si>
  <si>
    <t>ООО "ТеплоЭнерго проекты"</t>
  </si>
  <si>
    <t>9701162366</t>
  </si>
  <si>
    <t>17-05-2021 00:00:00</t>
  </si>
  <si>
    <t>31251543</t>
  </si>
  <si>
    <t>ООО "ЭКОСИСТЕМЫ"</t>
  </si>
  <si>
    <t>6119005688</t>
  </si>
  <si>
    <t>01-09-2019 00:00:00</t>
  </si>
  <si>
    <t>31669614</t>
  </si>
  <si>
    <t>ООО "ЭКОСервис"</t>
  </si>
  <si>
    <t>6150062462</t>
  </si>
  <si>
    <t>01-01-2023 00:00:00</t>
  </si>
  <si>
    <t>31702527</t>
  </si>
  <si>
    <t>ИП Берковцев Виктор Викторович</t>
  </si>
  <si>
    <t>610900024977</t>
  </si>
  <si>
    <t>31703040</t>
  </si>
  <si>
    <t>ИП Мандрыкина Татьяна Филипповна</t>
  </si>
  <si>
    <t>615303659387</t>
  </si>
  <si>
    <t>31704213</t>
  </si>
  <si>
    <t>ИП Федорова</t>
  </si>
  <si>
    <t>612505545940</t>
  </si>
  <si>
    <t>31702980</t>
  </si>
  <si>
    <t>ИП Ченокал Елена Сергеевна</t>
  </si>
  <si>
    <t>612803001495</t>
  </si>
  <si>
    <t>31708647</t>
  </si>
  <si>
    <t>МУП "КОММУНАЛЬЩИК"</t>
  </si>
  <si>
    <t>6147024347</t>
  </si>
  <si>
    <t>26382599</t>
  </si>
  <si>
    <t>МУП "Коммунальное хозяйство"</t>
  </si>
  <si>
    <t>6146005020</t>
  </si>
  <si>
    <t>614601001</t>
  </si>
  <si>
    <t>26822428</t>
  </si>
  <si>
    <t>МУП "Полигон"</t>
  </si>
  <si>
    <t>6119000986</t>
  </si>
  <si>
    <t>28-10-2010 00:00:00</t>
  </si>
  <si>
    <t>27044728</t>
  </si>
  <si>
    <t>МУП "Спецавтохозяйство"</t>
  </si>
  <si>
    <t>6144000570</t>
  </si>
  <si>
    <t>614401001</t>
  </si>
  <si>
    <t>30-09-2002 00:00:00</t>
  </si>
  <si>
    <t>26382585</t>
  </si>
  <si>
    <t>МУП "Чистый город"</t>
  </si>
  <si>
    <t>6128004585</t>
  </si>
  <si>
    <t>31704132</t>
  </si>
  <si>
    <t>МУП г.Шахты "Благоустройство"</t>
  </si>
  <si>
    <t>6155062184</t>
  </si>
  <si>
    <t>26455222</t>
  </si>
  <si>
    <t>Муниципальное унитарное предприятие Жилищно-коммунального хозяйства Мартыновского сельского поселения Мартыновского района</t>
  </si>
  <si>
    <t>6118000334</t>
  </si>
  <si>
    <t>31702817</t>
  </si>
  <si>
    <t>ОАО "ЧИСТЫЙ ГОРОД"</t>
  </si>
  <si>
    <t>6111012926</t>
  </si>
  <si>
    <t>31702358</t>
  </si>
  <si>
    <t>ОБЩЕСТВО С ОГРАНИЧЕННОЙ ОТВЕТСТВЕННОСТЬЮ "РЕГИОНАЛЬНАЯ ТРАНСПОРТНАЯ КОМПАНИЯ"</t>
  </si>
  <si>
    <t>3444186480</t>
  </si>
  <si>
    <t>31704456</t>
  </si>
  <si>
    <t>ОВЧИННИКОВ АЛЕКСАНДР ИГОРЕВИЧ</t>
  </si>
  <si>
    <t>614589317243</t>
  </si>
  <si>
    <t>31704537</t>
  </si>
  <si>
    <t>ООО "Автоспецтранс"</t>
  </si>
  <si>
    <t>6142022770</t>
  </si>
  <si>
    <t>26382594</t>
  </si>
  <si>
    <t>ООО "Алмаз"</t>
  </si>
  <si>
    <t>6142019551</t>
  </si>
  <si>
    <t>31212122</t>
  </si>
  <si>
    <t>ООО "ГК "Чистый город"</t>
  </si>
  <si>
    <t>3435085647</t>
  </si>
  <si>
    <t>772501001</t>
  </si>
  <si>
    <t>26382600</t>
  </si>
  <si>
    <t>ООО "Комбинат коммунальных предприятий"</t>
  </si>
  <si>
    <t>6147005351</t>
  </si>
  <si>
    <t>31704618</t>
  </si>
  <si>
    <t>ООО "Коммунальщик"</t>
  </si>
  <si>
    <t>6148251303</t>
  </si>
  <si>
    <t>31704051</t>
  </si>
  <si>
    <t>ООО "Макро"</t>
  </si>
  <si>
    <t>6151012150</t>
  </si>
  <si>
    <t>31704294</t>
  </si>
  <si>
    <t>ООО "Мастер-Сервис"</t>
  </si>
  <si>
    <t>6147037498</t>
  </si>
  <si>
    <t>31703406</t>
  </si>
  <si>
    <t>ООО "МегаСервис"</t>
  </si>
  <si>
    <t>6145010772</t>
  </si>
  <si>
    <t>31065004</t>
  </si>
  <si>
    <t>ООО "Полигон-Аксай"</t>
  </si>
  <si>
    <t>6102067887</t>
  </si>
  <si>
    <t>31690157</t>
  </si>
  <si>
    <t>ООО "Региональная транспортная компания"</t>
  </si>
  <si>
    <t>770501001</t>
  </si>
  <si>
    <t>02-06-2011 00:00:00</t>
  </si>
  <si>
    <t>31703810</t>
  </si>
  <si>
    <t>ООО "Спецавтохозяйство"</t>
  </si>
  <si>
    <t>6144020778</t>
  </si>
  <si>
    <t>31703245</t>
  </si>
  <si>
    <t>ООО "Стройбытсервис"</t>
  </si>
  <si>
    <t>6146005359</t>
  </si>
  <si>
    <t>31704375</t>
  </si>
  <si>
    <t>ООО "ТРАНСТРОЙСЕРВИС"</t>
  </si>
  <si>
    <t>6155074454</t>
  </si>
  <si>
    <t>26545114</t>
  </si>
  <si>
    <t>ООО "Топливно-энергетическая компания"</t>
  </si>
  <si>
    <t>6101038273</t>
  </si>
  <si>
    <t>27992837</t>
  </si>
  <si>
    <t>ООО "Чистота"</t>
  </si>
  <si>
    <t>6135007971</t>
  </si>
  <si>
    <t>31382311</t>
  </si>
  <si>
    <t>ООО "Чистый Мир"</t>
  </si>
  <si>
    <t>6165215087</t>
  </si>
  <si>
    <t>20-08-2018 00:00:00</t>
  </si>
  <si>
    <t>31703326</t>
  </si>
  <si>
    <t>ООО "Чистый город"</t>
  </si>
  <si>
    <t>6145007064</t>
  </si>
  <si>
    <t>31204500</t>
  </si>
  <si>
    <t>6153006219</t>
  </si>
  <si>
    <t>14-12-2017 00:00:00</t>
  </si>
  <si>
    <t>31702868</t>
  </si>
  <si>
    <t>ООО "ЭКО-МИР"</t>
  </si>
  <si>
    <t>6153007163</t>
  </si>
  <si>
    <t>27553065</t>
  </si>
  <si>
    <t>ООО "ЭКОГРАД"</t>
  </si>
  <si>
    <t>6150067982</t>
  </si>
  <si>
    <t>19-10-2011 00:00:00</t>
  </si>
  <si>
    <t>31180803</t>
  </si>
  <si>
    <t>ООО "ЭКОГРАД-Н"</t>
  </si>
  <si>
    <t>6150074556</t>
  </si>
  <si>
    <t>31703891</t>
  </si>
  <si>
    <t>ООО "Эко-Сервис"</t>
  </si>
  <si>
    <t>6155046672</t>
  </si>
  <si>
    <t>30908955</t>
  </si>
  <si>
    <t>ООО "ЭкоЦентр"</t>
  </si>
  <si>
    <t>3444177534</t>
  </si>
  <si>
    <t>31211923</t>
  </si>
  <si>
    <t>ООО "Экосервис"</t>
  </si>
  <si>
    <t>6141047531</t>
  </si>
  <si>
    <t>28795430</t>
  </si>
  <si>
    <t>ООО "Экострой-Дон"</t>
  </si>
  <si>
    <t>6125028860</t>
  </si>
  <si>
    <t>09-03-2010 00:00:00</t>
  </si>
  <si>
    <t>31212002</t>
  </si>
  <si>
    <t>ООО "Экотранс"</t>
  </si>
  <si>
    <t>6623121815</t>
  </si>
  <si>
    <t>31455223</t>
  </si>
  <si>
    <t>ООО "Экотранс-Про"</t>
  </si>
  <si>
    <t>6164130377</t>
  </si>
  <si>
    <t>31702587</t>
  </si>
  <si>
    <t>ООО "ЮГ"</t>
  </si>
  <si>
    <t>6132012268</t>
  </si>
  <si>
    <t>30350089</t>
  </si>
  <si>
    <t>ООО "Южный город"</t>
  </si>
  <si>
    <t>6162050599</t>
  </si>
  <si>
    <t>31701905</t>
  </si>
  <si>
    <t>ООО «Аксай-ЭкоГрад»</t>
  </si>
  <si>
    <t>6102065174</t>
  </si>
  <si>
    <t>31701941</t>
  </si>
  <si>
    <t>ООО «М-Стандарт-Юг»</t>
  </si>
  <si>
    <t>6102061691</t>
  </si>
  <si>
    <t>31701923</t>
  </si>
  <si>
    <t>ООО «РОСТ-ЭКО»</t>
  </si>
  <si>
    <t>6166095270</t>
  </si>
  <si>
    <t>31703496</t>
  </si>
  <si>
    <t>ООО МП "Автомобильный транспорт"</t>
  </si>
  <si>
    <t>6151019043</t>
  </si>
  <si>
    <t>NSRF</t>
  </si>
  <si>
    <t>MR_NAME</t>
  </si>
  <si>
    <t>OKTMO_MR_NAME</t>
  </si>
  <si>
    <t>MO_NAME</t>
  </si>
  <si>
    <t>OKTMO_NAME</t>
  </si>
  <si>
    <t>TYPE</t>
  </si>
  <si>
    <t>MR_ID</t>
  </si>
  <si>
    <t>Азовский район</t>
  </si>
  <si>
    <t>60601000</t>
  </si>
  <si>
    <t>муниципальный район</t>
  </si>
  <si>
    <t>Александровское сельское поселение</t>
  </si>
  <si>
    <t>60601405</t>
  </si>
  <si>
    <t>сельское поселение</t>
  </si>
  <si>
    <t>Елизаветинское сельское поселение</t>
  </si>
  <si>
    <t>60601410</t>
  </si>
  <si>
    <t>Елизаветовское сельское поселение</t>
  </si>
  <si>
    <t>60601420</t>
  </si>
  <si>
    <t>Задонское сельское поселение</t>
  </si>
  <si>
    <t>60601425</t>
  </si>
  <si>
    <t>Кагальницкое сельское поселение</t>
  </si>
  <si>
    <t>60601430</t>
  </si>
  <si>
    <t>Калиновское сельское поселение</t>
  </si>
  <si>
    <t>60601435</t>
  </si>
  <si>
    <t>Красносадовское сельское поселение</t>
  </si>
  <si>
    <t>60601438</t>
  </si>
  <si>
    <t>Круглянское сельское поселение</t>
  </si>
  <si>
    <t>60601440</t>
  </si>
  <si>
    <t>Кугейское сельское поселение</t>
  </si>
  <si>
    <t>60601444</t>
  </si>
  <si>
    <t>Кулешовское сельское поселение</t>
  </si>
  <si>
    <t>60601448</t>
  </si>
  <si>
    <t>Маргаритовское сельское поселение</t>
  </si>
  <si>
    <t>60601452</t>
  </si>
  <si>
    <t>Новоалександровское сельское поселение</t>
  </si>
  <si>
    <t>60601455</t>
  </si>
  <si>
    <t>Обильненское сельское поселение</t>
  </si>
  <si>
    <t>60601458</t>
  </si>
  <si>
    <t>Отрадовское сельское поселение</t>
  </si>
  <si>
    <t>60601460</t>
  </si>
  <si>
    <t>Пешковское сельское поселение</t>
  </si>
  <si>
    <t>60601463</t>
  </si>
  <si>
    <t>Рогожкинское сельское поселение</t>
  </si>
  <si>
    <t>60601472</t>
  </si>
  <si>
    <t>Самарское сельское поселение</t>
  </si>
  <si>
    <t>60601476</t>
  </si>
  <si>
    <t>Семибалковское сельское поселение</t>
  </si>
  <si>
    <t>60601480</t>
  </si>
  <si>
    <t>Аксайский район</t>
  </si>
  <si>
    <t>60602000</t>
  </si>
  <si>
    <t>Аксайское городское поселение</t>
  </si>
  <si>
    <t>60602101</t>
  </si>
  <si>
    <t>городское поселение, в состав которого входит город</t>
  </si>
  <si>
    <t>Большелогское сельское поселение</t>
  </si>
  <si>
    <t>60602405</t>
  </si>
  <si>
    <t>Верхнеподпольненское сельское поселение</t>
  </si>
  <si>
    <t>60602410</t>
  </si>
  <si>
    <t>Грушевское сельское поселение</t>
  </si>
  <si>
    <t>60602415</t>
  </si>
  <si>
    <t>Истоминское сельское поселение</t>
  </si>
  <si>
    <t>60602420</t>
  </si>
  <si>
    <t>Ленинское сельское поселение</t>
  </si>
  <si>
    <t>60602423</t>
  </si>
  <si>
    <t>Мишкинское сельское поселение</t>
  </si>
  <si>
    <t>60602425</t>
  </si>
  <si>
    <t>Ольгинское сельское поселение</t>
  </si>
  <si>
    <t>60602447</t>
  </si>
  <si>
    <t>Рассветовское сельское поселение</t>
  </si>
  <si>
    <t>60602458</t>
  </si>
  <si>
    <t>Старочеркасское сельское поселение</t>
  </si>
  <si>
    <t>60602462</t>
  </si>
  <si>
    <t>Щепкинское сельское поселение</t>
  </si>
  <si>
    <t>60602436</t>
  </si>
  <si>
    <t>Багаевский район</t>
  </si>
  <si>
    <t>60605000</t>
  </si>
  <si>
    <t>Ажиновское сельское поселение</t>
  </si>
  <si>
    <t>60605402</t>
  </si>
  <si>
    <t>Багаевское сельское поселение</t>
  </si>
  <si>
    <t>60605405</t>
  </si>
  <si>
    <t>Елкинское сельское поселение</t>
  </si>
  <si>
    <t>60605415</t>
  </si>
  <si>
    <t>Красненское сельское поселение</t>
  </si>
  <si>
    <t>60605420</t>
  </si>
  <si>
    <t>Манычское сельское поселение</t>
  </si>
  <si>
    <t>60605440</t>
  </si>
  <si>
    <t>Белокалитвинский район</t>
  </si>
  <si>
    <t>60606000</t>
  </si>
  <si>
    <t>Белокалитвинское городское поселение</t>
  </si>
  <si>
    <t>60606101</t>
  </si>
  <si>
    <t>Богураевское сельское поселение</t>
  </si>
  <si>
    <t>60606410</t>
  </si>
  <si>
    <t>Горняцкое сельское поселение</t>
  </si>
  <si>
    <t>60606417</t>
  </si>
  <si>
    <t>Грушево-Дубовское сельское поселение</t>
  </si>
  <si>
    <t>60606420</t>
  </si>
  <si>
    <t>Ильинское сельское поселение</t>
  </si>
  <si>
    <t>60606430</t>
  </si>
  <si>
    <t>Коксовское сельское поселение</t>
  </si>
  <si>
    <t>60606433</t>
  </si>
  <si>
    <t>Краснодонецкое сельское поселение</t>
  </si>
  <si>
    <t>60606435</t>
  </si>
  <si>
    <t>Литвиновское сельское поселение</t>
  </si>
  <si>
    <t>60606445</t>
  </si>
  <si>
    <t>Нижнепоповское сельское поселение</t>
  </si>
  <si>
    <t>60606450</t>
  </si>
  <si>
    <t>Рудаковское сельское поселение</t>
  </si>
  <si>
    <t>60606440</t>
  </si>
  <si>
    <t>Синегорское сельское поселение</t>
  </si>
  <si>
    <t>60606459</t>
  </si>
  <si>
    <t>Шолоховское городское поселение</t>
  </si>
  <si>
    <t>60606102</t>
  </si>
  <si>
    <t>Боковский район</t>
  </si>
  <si>
    <t>60607000</t>
  </si>
  <si>
    <t>Боковское сельское поселение</t>
  </si>
  <si>
    <t>60607411</t>
  </si>
  <si>
    <t>Верхнечирское сельское поселение</t>
  </si>
  <si>
    <t>60607422</t>
  </si>
  <si>
    <t>Грачевское сельское поселение</t>
  </si>
  <si>
    <t>60607433</t>
  </si>
  <si>
    <t>Земцовское сельское поселение</t>
  </si>
  <si>
    <t>60607455</t>
  </si>
  <si>
    <t>Каргинское сельское поселение</t>
  </si>
  <si>
    <t>60607444</t>
  </si>
  <si>
    <t>Краснозоринское сельское поселение</t>
  </si>
  <si>
    <t>60607448</t>
  </si>
  <si>
    <t>Краснокутское сельское поселение</t>
  </si>
  <si>
    <t>60607450</t>
  </si>
  <si>
    <t>Верхнедонской район</t>
  </si>
  <si>
    <t>60608000</t>
  </si>
  <si>
    <t>Верхняковское сельское поселение</t>
  </si>
  <si>
    <t>60608405</t>
  </si>
  <si>
    <t>60</t>
  </si>
  <si>
    <t>Казанское сельское поселение</t>
  </si>
  <si>
    <t>60608412</t>
  </si>
  <si>
    <t>61</t>
  </si>
  <si>
    <t>Казансколопатинское сельское поселение</t>
  </si>
  <si>
    <t>60608413</t>
  </si>
  <si>
    <t>62</t>
  </si>
  <si>
    <t>Мешковское сельское поселение</t>
  </si>
  <si>
    <t>60608428</t>
  </si>
  <si>
    <t>63</t>
  </si>
  <si>
    <t>Мещеряковское сельское поселение</t>
  </si>
  <si>
    <t>60608432</t>
  </si>
  <si>
    <t>64</t>
  </si>
  <si>
    <t>Мигулинское сельское поселение</t>
  </si>
  <si>
    <t>60608436</t>
  </si>
  <si>
    <t>65</t>
  </si>
  <si>
    <t>Нижнебыковское сельское поселение</t>
  </si>
  <si>
    <t>60608440</t>
  </si>
  <si>
    <t>Солонцовское сельское поселение</t>
  </si>
  <si>
    <t>60608446</t>
  </si>
  <si>
    <t>67</t>
  </si>
  <si>
    <t>Тубянское сельское поселение</t>
  </si>
  <si>
    <t>60608448</t>
  </si>
  <si>
    <t>Шумилинское сельское поселение</t>
  </si>
  <si>
    <t>60608458</t>
  </si>
  <si>
    <t>69</t>
  </si>
  <si>
    <t>Веселовский район</t>
  </si>
  <si>
    <t>60609000</t>
  </si>
  <si>
    <t>Верхнесоленовское сельское поселение</t>
  </si>
  <si>
    <t>60609409</t>
  </si>
  <si>
    <t>70</t>
  </si>
  <si>
    <t>71</t>
  </si>
  <si>
    <t>Веселовское сельское поселение</t>
  </si>
  <si>
    <t>60609411</t>
  </si>
  <si>
    <t>72</t>
  </si>
  <si>
    <t>Краснооктябрьское сельское поселение</t>
  </si>
  <si>
    <t>60609432</t>
  </si>
  <si>
    <t>73</t>
  </si>
  <si>
    <t>Позднеевское сельское поселение</t>
  </si>
  <si>
    <t>60609458</t>
  </si>
  <si>
    <t>74</t>
  </si>
  <si>
    <t>Волгодонской район</t>
  </si>
  <si>
    <t>60612000</t>
  </si>
  <si>
    <t>75</t>
  </si>
  <si>
    <t>Добровольское сельское поселение</t>
  </si>
  <si>
    <t>60612405</t>
  </si>
  <si>
    <t>76</t>
  </si>
  <si>
    <t>Дубенцовское сельское поселение</t>
  </si>
  <si>
    <t>60612408</t>
  </si>
  <si>
    <t>77</t>
  </si>
  <si>
    <t>Победенское сельское поселение</t>
  </si>
  <si>
    <t>60612425</t>
  </si>
  <si>
    <t>78</t>
  </si>
  <si>
    <t>Потаповское сельское поселение</t>
  </si>
  <si>
    <t>60612428</t>
  </si>
  <si>
    <t>79</t>
  </si>
  <si>
    <t>Прогрессовское сельское поселение</t>
  </si>
  <si>
    <t>60612430</t>
  </si>
  <si>
    <t>80</t>
  </si>
  <si>
    <t>Романовское сельское поселение</t>
  </si>
  <si>
    <t>60612432</t>
  </si>
  <si>
    <t>81</t>
  </si>
  <si>
    <t>Рябичевское сельское поселение</t>
  </si>
  <si>
    <t>60612435</t>
  </si>
  <si>
    <t>82</t>
  </si>
  <si>
    <t>городской округ</t>
  </si>
  <si>
    <t>Город Батайск</t>
  </si>
  <si>
    <t>60707000</t>
  </si>
  <si>
    <t>84</t>
  </si>
  <si>
    <t>Город Волгодонск</t>
  </si>
  <si>
    <t>60712000</t>
  </si>
  <si>
    <t>85</t>
  </si>
  <si>
    <t>Город Гуково</t>
  </si>
  <si>
    <t>60715000</t>
  </si>
  <si>
    <t>86</t>
  </si>
  <si>
    <t>Город Донецк</t>
  </si>
  <si>
    <t>60717000</t>
  </si>
  <si>
    <t>87</t>
  </si>
  <si>
    <t>Город Зверево</t>
  </si>
  <si>
    <t>60718000</t>
  </si>
  <si>
    <t>88</t>
  </si>
  <si>
    <t>Город Каменск-Шахтинский</t>
  </si>
  <si>
    <t>60719000</t>
  </si>
  <si>
    <t>89</t>
  </si>
  <si>
    <t>Город Новочеркасск</t>
  </si>
  <si>
    <t>60727000</t>
  </si>
  <si>
    <t>90</t>
  </si>
  <si>
    <t>Город Новошахтинск</t>
  </si>
  <si>
    <t>60730000</t>
  </si>
  <si>
    <t>91</t>
  </si>
  <si>
    <t>Город Ростов-на-Дону</t>
  </si>
  <si>
    <t>60701000</t>
  </si>
  <si>
    <t>92</t>
  </si>
  <si>
    <t>Город Таганрог</t>
  </si>
  <si>
    <t>60737000</t>
  </si>
  <si>
    <t>93</t>
  </si>
  <si>
    <t>Город Шахты</t>
  </si>
  <si>
    <t>60740000</t>
  </si>
  <si>
    <t>94</t>
  </si>
  <si>
    <t>Дубовский район</t>
  </si>
  <si>
    <t>60613000</t>
  </si>
  <si>
    <t>Андреевское сельское поселение</t>
  </si>
  <si>
    <t>60613405</t>
  </si>
  <si>
    <t>95</t>
  </si>
  <si>
    <t>Барабанщиковское сельское поселение</t>
  </si>
  <si>
    <t>60613410</t>
  </si>
  <si>
    <t>96</t>
  </si>
  <si>
    <t>Вербовологовское сельское поселение</t>
  </si>
  <si>
    <t>60613415</t>
  </si>
  <si>
    <t>97</t>
  </si>
  <si>
    <t>60613417</t>
  </si>
  <si>
    <t>98</t>
  </si>
  <si>
    <t>Гуреевское сельское поселение</t>
  </si>
  <si>
    <t>60613420</t>
  </si>
  <si>
    <t>99</t>
  </si>
  <si>
    <t>100</t>
  </si>
  <si>
    <t>Дубовское сельское поселение</t>
  </si>
  <si>
    <t>60613425</t>
  </si>
  <si>
    <t>101</t>
  </si>
  <si>
    <t>Жуковское сельское поселение</t>
  </si>
  <si>
    <t>60613430</t>
  </si>
  <si>
    <t>102</t>
  </si>
  <si>
    <t>Комиссаровское сельское поселение</t>
  </si>
  <si>
    <t>60613440</t>
  </si>
  <si>
    <t>103</t>
  </si>
  <si>
    <t>Малолученское сельское поселение</t>
  </si>
  <si>
    <t>60613448</t>
  </si>
  <si>
    <t>104</t>
  </si>
  <si>
    <t>Мирненское сельское поселение</t>
  </si>
  <si>
    <t>60613452</t>
  </si>
  <si>
    <t>105</t>
  </si>
  <si>
    <t>Присальское сельское поселение</t>
  </si>
  <si>
    <t>60613460</t>
  </si>
  <si>
    <t>106</t>
  </si>
  <si>
    <t>60613464</t>
  </si>
  <si>
    <t>107</t>
  </si>
  <si>
    <t>Семичанское сельское поселение</t>
  </si>
  <si>
    <t>60613471</t>
  </si>
  <si>
    <t>108</t>
  </si>
  <si>
    <t>Егорлыкский район</t>
  </si>
  <si>
    <t>60615000</t>
  </si>
  <si>
    <t>Балко-Грузское сельское поселение</t>
  </si>
  <si>
    <t>60615410</t>
  </si>
  <si>
    <t>109</t>
  </si>
  <si>
    <t>Войновское сельское поселение</t>
  </si>
  <si>
    <t>60615415</t>
  </si>
  <si>
    <t>110</t>
  </si>
  <si>
    <t>111</t>
  </si>
  <si>
    <t>Егорлыкское сельское поселение</t>
  </si>
  <si>
    <t>60615417</t>
  </si>
  <si>
    <t>112</t>
  </si>
  <si>
    <t>60615425</t>
  </si>
  <si>
    <t>113</t>
  </si>
  <si>
    <t>Кавалерское сельское поселение</t>
  </si>
  <si>
    <t>60615436</t>
  </si>
  <si>
    <t>114</t>
  </si>
  <si>
    <t>Новороговское сельское поселение</t>
  </si>
  <si>
    <t>60615447</t>
  </si>
  <si>
    <t>115</t>
  </si>
  <si>
    <t>Объединенное сельское поселение</t>
  </si>
  <si>
    <t>60615458</t>
  </si>
  <si>
    <t>116</t>
  </si>
  <si>
    <t>Роговское сельское поселение</t>
  </si>
  <si>
    <t>60615462</t>
  </si>
  <si>
    <t>117</t>
  </si>
  <si>
    <t>Шаумяновское сельское поселение</t>
  </si>
  <si>
    <t>60615480</t>
  </si>
  <si>
    <t>118</t>
  </si>
  <si>
    <t>Заветинский район</t>
  </si>
  <si>
    <t>60617000</t>
  </si>
  <si>
    <t>119</t>
  </si>
  <si>
    <t>Заветинское сельское поселение</t>
  </si>
  <si>
    <t>60617411</t>
  </si>
  <si>
    <t>120</t>
  </si>
  <si>
    <t>Киселевское сельское поселение</t>
  </si>
  <si>
    <t>60617428</t>
  </si>
  <si>
    <t>121</t>
  </si>
  <si>
    <t>Кичкинское сельское поселение</t>
  </si>
  <si>
    <t>60617430</t>
  </si>
  <si>
    <t>122</t>
  </si>
  <si>
    <t>Никольское сельское поселение</t>
  </si>
  <si>
    <t>60617422</t>
  </si>
  <si>
    <t>123</t>
  </si>
  <si>
    <t>Савдянское сельское поселение</t>
  </si>
  <si>
    <t>60617445</t>
  </si>
  <si>
    <t>124</t>
  </si>
  <si>
    <t>Тюльпановское сельское поселение</t>
  </si>
  <si>
    <t>60617432</t>
  </si>
  <si>
    <t>125</t>
  </si>
  <si>
    <t>Федосеевское сельское поселение</t>
  </si>
  <si>
    <t>60617466</t>
  </si>
  <si>
    <t>126</t>
  </si>
  <si>
    <t>Фоминское сельское поселение</t>
  </si>
  <si>
    <t>60617434</t>
  </si>
  <si>
    <t>127</t>
  </si>
  <si>
    <t>Шебалинское сельское поселение</t>
  </si>
  <si>
    <t>60617470</t>
  </si>
  <si>
    <t>128</t>
  </si>
  <si>
    <t>Зерноградский район</t>
  </si>
  <si>
    <t>60618000</t>
  </si>
  <si>
    <t>Большеталовское сельское поселение</t>
  </si>
  <si>
    <t>60618405</t>
  </si>
  <si>
    <t>129</t>
  </si>
  <si>
    <t>Гуляй-Борисовское сельское поселение</t>
  </si>
  <si>
    <t>60618410</t>
  </si>
  <si>
    <t>130</t>
  </si>
  <si>
    <t>Донское сельское поселение</t>
  </si>
  <si>
    <t>60618415</t>
  </si>
  <si>
    <t>131</t>
  </si>
  <si>
    <t>132</t>
  </si>
  <si>
    <t>Зерноградское городское поселение</t>
  </si>
  <si>
    <t>60618101</t>
  </si>
  <si>
    <t>133</t>
  </si>
  <si>
    <t>Конзаводское сельское поселение</t>
  </si>
  <si>
    <t>60618440</t>
  </si>
  <si>
    <t>134</t>
  </si>
  <si>
    <t>Красноармейское сельское поселение</t>
  </si>
  <si>
    <t>60618445</t>
  </si>
  <si>
    <t>135</t>
  </si>
  <si>
    <t>60618450</t>
  </si>
  <si>
    <t>136</t>
  </si>
  <si>
    <t>Мечетинское сельское поселение</t>
  </si>
  <si>
    <t>60618455</t>
  </si>
  <si>
    <t>137</t>
  </si>
  <si>
    <t>Россошинское сельское поселение</t>
  </si>
  <si>
    <t>60618460</t>
  </si>
  <si>
    <t>138</t>
  </si>
  <si>
    <t>Зимовниковский район</t>
  </si>
  <si>
    <t>60619000</t>
  </si>
  <si>
    <t>Верхнесеребряковское сельское поселение</t>
  </si>
  <si>
    <t>60619405</t>
  </si>
  <si>
    <t>139</t>
  </si>
  <si>
    <t>Гашунское сельское поселение</t>
  </si>
  <si>
    <t>60619410</t>
  </si>
  <si>
    <t>140</t>
  </si>
  <si>
    <t>Глубочанское сельское поселение</t>
  </si>
  <si>
    <t>60619415</t>
  </si>
  <si>
    <t>141</t>
  </si>
  <si>
    <t>142</t>
  </si>
  <si>
    <t>Зимовниковское сельское поселение</t>
  </si>
  <si>
    <t>60619417</t>
  </si>
  <si>
    <t>143</t>
  </si>
  <si>
    <t>Камышевское сельское поселение</t>
  </si>
  <si>
    <t>60619420</t>
  </si>
  <si>
    <t>144</t>
  </si>
  <si>
    <t>Кировское сельское поселение</t>
  </si>
  <si>
    <t>60619425</t>
  </si>
  <si>
    <t>145</t>
  </si>
  <si>
    <t>Кутейниковское сельское поселение</t>
  </si>
  <si>
    <t>60619430</t>
  </si>
  <si>
    <t>146</t>
  </si>
  <si>
    <t>60619432</t>
  </si>
  <si>
    <t>147</t>
  </si>
  <si>
    <t>Мокрогашунское сельское поселение</t>
  </si>
  <si>
    <t>60619435</t>
  </si>
  <si>
    <t>148</t>
  </si>
  <si>
    <t>Савоськинское сельское поселение</t>
  </si>
  <si>
    <t>60619445</t>
  </si>
  <si>
    <t>149</t>
  </si>
  <si>
    <t>Северное сельское поселение</t>
  </si>
  <si>
    <t>60619450</t>
  </si>
  <si>
    <t>150</t>
  </si>
  <si>
    <t>Кагальницкий район</t>
  </si>
  <si>
    <t>60622000</t>
  </si>
  <si>
    <t>Иваново-Шамшевское сельское поселение</t>
  </si>
  <si>
    <t>60622412</t>
  </si>
  <si>
    <t>151</t>
  </si>
  <si>
    <t>152</t>
  </si>
  <si>
    <t>60622414</t>
  </si>
  <si>
    <t>153</t>
  </si>
  <si>
    <t>Калининское сельское поселение</t>
  </si>
  <si>
    <t>60622417</t>
  </si>
  <si>
    <t>154</t>
  </si>
  <si>
    <t>60622420</t>
  </si>
  <si>
    <t>155</t>
  </si>
  <si>
    <t>Мокробатайское сельское поселение</t>
  </si>
  <si>
    <t>60622423</t>
  </si>
  <si>
    <t>156</t>
  </si>
  <si>
    <t>Новобатайское сельское поселение</t>
  </si>
  <si>
    <t>60622425</t>
  </si>
  <si>
    <t>157</t>
  </si>
  <si>
    <t>Родниковское сельское поселение</t>
  </si>
  <si>
    <t>60622430</t>
  </si>
  <si>
    <t>158</t>
  </si>
  <si>
    <t>Хомутовское сельское поселение</t>
  </si>
  <si>
    <t>60622442</t>
  </si>
  <si>
    <t>159</t>
  </si>
  <si>
    <t>Каменский район</t>
  </si>
  <si>
    <t>60623000</t>
  </si>
  <si>
    <t>Астаховское сельское поселение</t>
  </si>
  <si>
    <t>60623405</t>
  </si>
  <si>
    <t>160</t>
  </si>
  <si>
    <t>Богдановское сельское поселение</t>
  </si>
  <si>
    <t>60623410</t>
  </si>
  <si>
    <t>161</t>
  </si>
  <si>
    <t>Волченское сельское поселение</t>
  </si>
  <si>
    <t>60623415</t>
  </si>
  <si>
    <t>162</t>
  </si>
  <si>
    <t>Глубокинское городское поселение</t>
  </si>
  <si>
    <t>60623151</t>
  </si>
  <si>
    <t>городское поселение, в состав которого входит поселок</t>
  </si>
  <si>
    <t>163</t>
  </si>
  <si>
    <t>Груциновское сельское поселение</t>
  </si>
  <si>
    <t>60623460</t>
  </si>
  <si>
    <t>164</t>
  </si>
  <si>
    <t>Гусевское сельское поселение</t>
  </si>
  <si>
    <t>60623420</t>
  </si>
  <si>
    <t>165</t>
  </si>
  <si>
    <t>Калитвенское сельское поселение</t>
  </si>
  <si>
    <t>60623425</t>
  </si>
  <si>
    <t>166</t>
  </si>
  <si>
    <t>167</t>
  </si>
  <si>
    <t>Красновское сельское поселение</t>
  </si>
  <si>
    <t>60623430</t>
  </si>
  <si>
    <t>168</t>
  </si>
  <si>
    <t>Малокаменское сельское поселение</t>
  </si>
  <si>
    <t>60623440</t>
  </si>
  <si>
    <t>169</t>
  </si>
  <si>
    <t>Пиховкинское сельское поселение</t>
  </si>
  <si>
    <t>60623455</t>
  </si>
  <si>
    <t>170</t>
  </si>
  <si>
    <t>Старостаничное сельское поселение</t>
  </si>
  <si>
    <t>60623465</t>
  </si>
  <si>
    <t>171</t>
  </si>
  <si>
    <t>Уляшкинское сельское поселение</t>
  </si>
  <si>
    <t>60623470</t>
  </si>
  <si>
    <t>172</t>
  </si>
  <si>
    <t>Кашарский район</t>
  </si>
  <si>
    <t>60624000</t>
  </si>
  <si>
    <t>Верхнемакеевское сельское поселение</t>
  </si>
  <si>
    <t>60624410</t>
  </si>
  <si>
    <t>173</t>
  </si>
  <si>
    <t>Верхнесвечниковское сельское поселение</t>
  </si>
  <si>
    <t>60624415</t>
  </si>
  <si>
    <t>174</t>
  </si>
  <si>
    <t>Вяжинское сельское поселение</t>
  </si>
  <si>
    <t>60624420</t>
  </si>
  <si>
    <t>175</t>
  </si>
  <si>
    <t>Индустриальное сельское поселение</t>
  </si>
  <si>
    <t>60624425</t>
  </si>
  <si>
    <t>176</t>
  </si>
  <si>
    <t>177</t>
  </si>
  <si>
    <t>Кашарское сельское поселение</t>
  </si>
  <si>
    <t>60624430</t>
  </si>
  <si>
    <t>178</t>
  </si>
  <si>
    <t>Киевское сельское поселение</t>
  </si>
  <si>
    <t>60624435</t>
  </si>
  <si>
    <t>179</t>
  </si>
  <si>
    <t>Первомайское сельское поселение</t>
  </si>
  <si>
    <t>60624450</t>
  </si>
  <si>
    <t>180</t>
  </si>
  <si>
    <t>Поповское сельское поселение</t>
  </si>
  <si>
    <t>60624455</t>
  </si>
  <si>
    <t>181</t>
  </si>
  <si>
    <t>Талловеровское сельское поселение</t>
  </si>
  <si>
    <t>60624470</t>
  </si>
  <si>
    <t>182</t>
  </si>
  <si>
    <t>Фомино-Свечниковское сельское поселение</t>
  </si>
  <si>
    <t>60624475</t>
  </si>
  <si>
    <t>183</t>
  </si>
  <si>
    <t>Константиновский район</t>
  </si>
  <si>
    <t>60625000</t>
  </si>
  <si>
    <t>Авиловское сельское поселение</t>
  </si>
  <si>
    <t>60625405</t>
  </si>
  <si>
    <t>184</t>
  </si>
  <si>
    <t>Богоявленское сельское поселение</t>
  </si>
  <si>
    <t>60625410</t>
  </si>
  <si>
    <t>185</t>
  </si>
  <si>
    <t>Гапкинское сельское поселение</t>
  </si>
  <si>
    <t>60625415</t>
  </si>
  <si>
    <t>186</t>
  </si>
  <si>
    <t>187</t>
  </si>
  <si>
    <t>Константиновское городское поселение</t>
  </si>
  <si>
    <t>60625101</t>
  </si>
  <si>
    <t>188</t>
  </si>
  <si>
    <t>Николаевское сельское поселение</t>
  </si>
  <si>
    <t>60625420</t>
  </si>
  <si>
    <t>189</t>
  </si>
  <si>
    <t>Почтовское сельское поселение</t>
  </si>
  <si>
    <t>60625425</t>
  </si>
  <si>
    <t>190</t>
  </si>
  <si>
    <t>Стычновское сельское поселение</t>
  </si>
  <si>
    <t>60625436</t>
  </si>
  <si>
    <t>191</t>
  </si>
  <si>
    <t>Красносулинский район</t>
  </si>
  <si>
    <t>60626000</t>
  </si>
  <si>
    <t>Божковское сельское поселение</t>
  </si>
  <si>
    <t>60626405</t>
  </si>
  <si>
    <t>192</t>
  </si>
  <si>
    <t>Владимировское сельское поселение</t>
  </si>
  <si>
    <t>60626410</t>
  </si>
  <si>
    <t>193</t>
  </si>
  <si>
    <t>Горненское городское поселение</t>
  </si>
  <si>
    <t>60626102</t>
  </si>
  <si>
    <t>194</t>
  </si>
  <si>
    <t>Гуково-Гнилушевское сельское поселение</t>
  </si>
  <si>
    <t>60626415</t>
  </si>
  <si>
    <t>195</t>
  </si>
  <si>
    <t>Долотинское сельское поселение</t>
  </si>
  <si>
    <t>60626420</t>
  </si>
  <si>
    <t>196</t>
  </si>
  <si>
    <t>60626425</t>
  </si>
  <si>
    <t>197</t>
  </si>
  <si>
    <t>Ковалевское сельское поселение</t>
  </si>
  <si>
    <t>60626430</t>
  </si>
  <si>
    <t>198</t>
  </si>
  <si>
    <t>60626435</t>
  </si>
  <si>
    <t>199</t>
  </si>
  <si>
    <t>200</t>
  </si>
  <si>
    <t>Красносулинское городское поселение</t>
  </si>
  <si>
    <t>60626101</t>
  </si>
  <si>
    <t>201</t>
  </si>
  <si>
    <t>Михайловское сельское поселение</t>
  </si>
  <si>
    <t>60626440</t>
  </si>
  <si>
    <t>202</t>
  </si>
  <si>
    <t>Пролетарское сельское поселение</t>
  </si>
  <si>
    <t>60626445</t>
  </si>
  <si>
    <t>203</t>
  </si>
  <si>
    <t>Садковское сельское поселение</t>
  </si>
  <si>
    <t>60626450</t>
  </si>
  <si>
    <t>204</t>
  </si>
  <si>
    <t>Табунщиковское сельское поселение</t>
  </si>
  <si>
    <t>60626455</t>
  </si>
  <si>
    <t>205</t>
  </si>
  <si>
    <t>Углеродовское городское поселение</t>
  </si>
  <si>
    <t>60626165</t>
  </si>
  <si>
    <t>206</t>
  </si>
  <si>
    <t>Ударниковское сельское поселение</t>
  </si>
  <si>
    <t>60626460</t>
  </si>
  <si>
    <t>207</t>
  </si>
  <si>
    <t>Куйбышевский район</t>
  </si>
  <si>
    <t>60627000</t>
  </si>
  <si>
    <t>Кринично-Лугское сельское поселение</t>
  </si>
  <si>
    <t>60627404</t>
  </si>
  <si>
    <t>208</t>
  </si>
  <si>
    <t>209</t>
  </si>
  <si>
    <t>Куйбышевское сельское поселение</t>
  </si>
  <si>
    <t>60627405</t>
  </si>
  <si>
    <t>210</t>
  </si>
  <si>
    <t>Лысогорское сельское поселение</t>
  </si>
  <si>
    <t>60627410</t>
  </si>
  <si>
    <t>211</t>
  </si>
  <si>
    <t>Мартыновский район</t>
  </si>
  <si>
    <t>60630000</t>
  </si>
  <si>
    <t>Большеорловское сельское поселение</t>
  </si>
  <si>
    <t>60630405</t>
  </si>
  <si>
    <t>212</t>
  </si>
  <si>
    <t>Зеленолугское сельское поселение</t>
  </si>
  <si>
    <t>60630407</t>
  </si>
  <si>
    <t>213</t>
  </si>
  <si>
    <t>Ильиновское сельское поселение</t>
  </si>
  <si>
    <t>60630412</t>
  </si>
  <si>
    <t>214</t>
  </si>
  <si>
    <t>Комаровское сельское поселение</t>
  </si>
  <si>
    <t>60630423</t>
  </si>
  <si>
    <t>215</t>
  </si>
  <si>
    <t>Малоорловское сельское поселение</t>
  </si>
  <si>
    <t>60630434</t>
  </si>
  <si>
    <t>216</t>
  </si>
  <si>
    <t>217</t>
  </si>
  <si>
    <t>Мартыновское сельское поселение</t>
  </si>
  <si>
    <t>60630439</t>
  </si>
  <si>
    <t>218</t>
  </si>
  <si>
    <t>Новоселовское сельское поселение</t>
  </si>
  <si>
    <t>60630456</t>
  </si>
  <si>
    <t>219</t>
  </si>
  <si>
    <t>Рубашкинское сельское поселение</t>
  </si>
  <si>
    <t>60630467</t>
  </si>
  <si>
    <t>220</t>
  </si>
  <si>
    <t>Южненское сельское поселение</t>
  </si>
  <si>
    <t>60630489</t>
  </si>
  <si>
    <t>221</t>
  </si>
  <si>
    <t>Матвеево-Курганский район</t>
  </si>
  <si>
    <t>60631000</t>
  </si>
  <si>
    <t>Алексеевское сельское поселение</t>
  </si>
  <si>
    <t>60631405</t>
  </si>
  <si>
    <t>222</t>
  </si>
  <si>
    <t>Анастасиевское сельское поселение</t>
  </si>
  <si>
    <t>60631410</t>
  </si>
  <si>
    <t>223</t>
  </si>
  <si>
    <t>Большекирсановское сельское поселение</t>
  </si>
  <si>
    <t>60631415</t>
  </si>
  <si>
    <t>224</t>
  </si>
  <si>
    <t>Екатериновское сельское поселение</t>
  </si>
  <si>
    <t>60631420</t>
  </si>
  <si>
    <t>225</t>
  </si>
  <si>
    <t>Малокирсановское сельское поселение</t>
  </si>
  <si>
    <t>60631440</t>
  </si>
  <si>
    <t>226</t>
  </si>
  <si>
    <t>227</t>
  </si>
  <si>
    <t>Матвеево-Курганское сельское поселение</t>
  </si>
  <si>
    <t>60631445</t>
  </si>
  <si>
    <t>228</t>
  </si>
  <si>
    <t>Новониколаевское сельское поселение</t>
  </si>
  <si>
    <t>60631450</t>
  </si>
  <si>
    <t>229</t>
  </si>
  <si>
    <t>Ряженское сельское поселение</t>
  </si>
  <si>
    <t>60631465</t>
  </si>
  <si>
    <t>230</t>
  </si>
  <si>
    <t>Миллеровский район</t>
  </si>
  <si>
    <t>60632000</t>
  </si>
  <si>
    <t>Верхнеталовское сельское поселение</t>
  </si>
  <si>
    <t>60632402</t>
  </si>
  <si>
    <t>231</t>
  </si>
  <si>
    <t>Волошинское сельское поселение</t>
  </si>
  <si>
    <t>60632405</t>
  </si>
  <si>
    <t>232</t>
  </si>
  <si>
    <t>Дегтевское сельское поселение</t>
  </si>
  <si>
    <t>60632415</t>
  </si>
  <si>
    <t>233</t>
  </si>
  <si>
    <t>Колодезянское сельское поселение</t>
  </si>
  <si>
    <t>60632420</t>
  </si>
  <si>
    <t>234</t>
  </si>
  <si>
    <t>Криворожское сельское поселение</t>
  </si>
  <si>
    <t>60632425</t>
  </si>
  <si>
    <t>235</t>
  </si>
  <si>
    <t>Мальчевское сельское поселение</t>
  </si>
  <si>
    <t>60632435</t>
  </si>
  <si>
    <t>236</t>
  </si>
  <si>
    <t>237</t>
  </si>
  <si>
    <t>Миллеровское городское поселение</t>
  </si>
  <si>
    <t>60632101</t>
  </si>
  <si>
    <t>238</t>
  </si>
  <si>
    <t>Ольхово-Рогское сельское поселение</t>
  </si>
  <si>
    <t>60632455</t>
  </si>
  <si>
    <t>239</t>
  </si>
  <si>
    <t>60632460</t>
  </si>
  <si>
    <t>240</t>
  </si>
  <si>
    <t>Сулинское сельское поселение</t>
  </si>
  <si>
    <t>60632467</t>
  </si>
  <si>
    <t>241</t>
  </si>
  <si>
    <t>Титовское сельское поселение</t>
  </si>
  <si>
    <t>60632470</t>
  </si>
  <si>
    <t>242</t>
  </si>
  <si>
    <t>Треневское сельское поселение</t>
  </si>
  <si>
    <t>60632430</t>
  </si>
  <si>
    <t>243</t>
  </si>
  <si>
    <t>Туриловское сельское поселение</t>
  </si>
  <si>
    <t>60632475</t>
  </si>
  <si>
    <t>244</t>
  </si>
  <si>
    <t>Милютинский район</t>
  </si>
  <si>
    <t>60633000</t>
  </si>
  <si>
    <t>Лукичевское сельское поселение</t>
  </si>
  <si>
    <t>60633420</t>
  </si>
  <si>
    <t>245</t>
  </si>
  <si>
    <t>Маньково-Березовское сельское поселение</t>
  </si>
  <si>
    <t>60633428</t>
  </si>
  <si>
    <t>246</t>
  </si>
  <si>
    <t>247</t>
  </si>
  <si>
    <t>Милютинское сельское поселение</t>
  </si>
  <si>
    <t>60633433</t>
  </si>
  <si>
    <t>248</t>
  </si>
  <si>
    <t>Николо-Березовское сельское поселение</t>
  </si>
  <si>
    <t>60633444</t>
  </si>
  <si>
    <t>249</t>
  </si>
  <si>
    <t>Орловское сельское поселение</t>
  </si>
  <si>
    <t>60633466</t>
  </si>
  <si>
    <t>250</t>
  </si>
  <si>
    <t>Светочниковское сельское поселение</t>
  </si>
  <si>
    <t>60633477</t>
  </si>
  <si>
    <t>251</t>
  </si>
  <si>
    <t>Селивановское сельское поселение</t>
  </si>
  <si>
    <t>60633480</t>
  </si>
  <si>
    <t>252</t>
  </si>
  <si>
    <t>Морозовский район</t>
  </si>
  <si>
    <t>60634000</t>
  </si>
  <si>
    <t>Вознесенское сельское поселение</t>
  </si>
  <si>
    <t>60634415</t>
  </si>
  <si>
    <t>253</t>
  </si>
  <si>
    <t>Вольно-Донское сельское поселение</t>
  </si>
  <si>
    <t>60634420</t>
  </si>
  <si>
    <t>254</t>
  </si>
  <si>
    <t>Гагаринское сельское поселение</t>
  </si>
  <si>
    <t>60634423</t>
  </si>
  <si>
    <t>255</t>
  </si>
  <si>
    <t>Грузиновское сельское поселение</t>
  </si>
  <si>
    <t>60634425</t>
  </si>
  <si>
    <t>256</t>
  </si>
  <si>
    <t>Знаменское сельское поселение</t>
  </si>
  <si>
    <t>60634430</t>
  </si>
  <si>
    <t>257</t>
  </si>
  <si>
    <t>Костино-Быстрянское сельское поселение</t>
  </si>
  <si>
    <t>60634440</t>
  </si>
  <si>
    <t>258</t>
  </si>
  <si>
    <t>259</t>
  </si>
  <si>
    <t>Морозовское городское поселение</t>
  </si>
  <si>
    <t>60634101</t>
  </si>
  <si>
    <t>260</t>
  </si>
  <si>
    <t>Парамоновское сельское поселение</t>
  </si>
  <si>
    <t>60634460</t>
  </si>
  <si>
    <t>261</t>
  </si>
  <si>
    <t>Широко-Атамановское сельское поселение</t>
  </si>
  <si>
    <t>60634405</t>
  </si>
  <si>
    <t>262</t>
  </si>
  <si>
    <t>Мясниковский район</t>
  </si>
  <si>
    <t>60635000</t>
  </si>
  <si>
    <t>Большесальское сельское поселение</t>
  </si>
  <si>
    <t>60635405</t>
  </si>
  <si>
    <t>263</t>
  </si>
  <si>
    <t>60635420</t>
  </si>
  <si>
    <t>264</t>
  </si>
  <si>
    <t>Краснокрымское сельское поселение</t>
  </si>
  <si>
    <t>60635424</t>
  </si>
  <si>
    <t>265</t>
  </si>
  <si>
    <t>Крымское сельское поселение</t>
  </si>
  <si>
    <t>60635428</t>
  </si>
  <si>
    <t>266</t>
  </si>
  <si>
    <t>267</t>
  </si>
  <si>
    <t>Недвиговское сельское поселение</t>
  </si>
  <si>
    <t>60635447</t>
  </si>
  <si>
    <t>268</t>
  </si>
  <si>
    <t>Петровское сельское поселение</t>
  </si>
  <si>
    <t>60635436</t>
  </si>
  <si>
    <t>269</t>
  </si>
  <si>
    <t>Чалтырское сельское поселение</t>
  </si>
  <si>
    <t>60635452</t>
  </si>
  <si>
    <t>270</t>
  </si>
  <si>
    <t>Неклиновский район</t>
  </si>
  <si>
    <t>60636000</t>
  </si>
  <si>
    <t>Андреево-Мелентьевское сельское поселение</t>
  </si>
  <si>
    <t>60636428</t>
  </si>
  <si>
    <t>271</t>
  </si>
  <si>
    <t>Большенеклиновское сельское поселение</t>
  </si>
  <si>
    <t>60636404</t>
  </si>
  <si>
    <t>272</t>
  </si>
  <si>
    <t>Вареновское сельское поселение</t>
  </si>
  <si>
    <t>60636407</t>
  </si>
  <si>
    <t>273</t>
  </si>
  <si>
    <t>Васильево-Ханжоновское сельское поселение</t>
  </si>
  <si>
    <t>60636408</t>
  </si>
  <si>
    <t>274</t>
  </si>
  <si>
    <t>Лакедемоновское сельское поселение</t>
  </si>
  <si>
    <t>60636424</t>
  </si>
  <si>
    <t>275</t>
  </si>
  <si>
    <t>Натальевское сельское поселение</t>
  </si>
  <si>
    <t>60636432</t>
  </si>
  <si>
    <t>276</t>
  </si>
  <si>
    <t>277</t>
  </si>
  <si>
    <t>60636434</t>
  </si>
  <si>
    <t>278</t>
  </si>
  <si>
    <t>Новобессергеневское сельское поселение</t>
  </si>
  <si>
    <t>60636436</t>
  </si>
  <si>
    <t>279</t>
  </si>
  <si>
    <t>Носовское сельское поселение</t>
  </si>
  <si>
    <t>60636440</t>
  </si>
  <si>
    <t>280</t>
  </si>
  <si>
    <t>Платовское сельское поселение</t>
  </si>
  <si>
    <t>60636412</t>
  </si>
  <si>
    <t>281</t>
  </si>
  <si>
    <t>Покровское сельское поселение</t>
  </si>
  <si>
    <t>60636448</t>
  </si>
  <si>
    <t>282</t>
  </si>
  <si>
    <t>Поляковское сельское поселение</t>
  </si>
  <si>
    <t>60636420</t>
  </si>
  <si>
    <t>283</t>
  </si>
  <si>
    <t>Приморское сельское поселение</t>
  </si>
  <si>
    <t>60636452</t>
  </si>
  <si>
    <t>284</t>
  </si>
  <si>
    <t>Самбекское сельское поселение</t>
  </si>
  <si>
    <t>60636456</t>
  </si>
  <si>
    <t>285</t>
  </si>
  <si>
    <t>Синявское сельское поселение</t>
  </si>
  <si>
    <t>60636460</t>
  </si>
  <si>
    <t>286</t>
  </si>
  <si>
    <t>Советинское сельское поселение</t>
  </si>
  <si>
    <t>60636464</t>
  </si>
  <si>
    <t>287</t>
  </si>
  <si>
    <t>Троицкое сельское поселение</t>
  </si>
  <si>
    <t>60636468</t>
  </si>
  <si>
    <t>288</t>
  </si>
  <si>
    <t>Федоровское сельское поселение</t>
  </si>
  <si>
    <t>60636472</t>
  </si>
  <si>
    <t>289</t>
  </si>
  <si>
    <t>Обливский район</t>
  </si>
  <si>
    <t>60640000</t>
  </si>
  <si>
    <t>60640403</t>
  </si>
  <si>
    <t>290</t>
  </si>
  <si>
    <t>60640405</t>
  </si>
  <si>
    <t>291</t>
  </si>
  <si>
    <t>Караичевское сельское поселение</t>
  </si>
  <si>
    <t>60640425</t>
  </si>
  <si>
    <t>292</t>
  </si>
  <si>
    <t>Каштановское сельское поселение</t>
  </si>
  <si>
    <t>60640410</t>
  </si>
  <si>
    <t>293</t>
  </si>
  <si>
    <t>Нестеркинское сельское поселение</t>
  </si>
  <si>
    <t>60640440</t>
  </si>
  <si>
    <t>294</t>
  </si>
  <si>
    <t>295</t>
  </si>
  <si>
    <t>Обливское сельское поселение</t>
  </si>
  <si>
    <t>60640420</t>
  </si>
  <si>
    <t>296</t>
  </si>
  <si>
    <t>Солонецкое сельское поселение</t>
  </si>
  <si>
    <t>60640430</t>
  </si>
  <si>
    <t>297</t>
  </si>
  <si>
    <t>Октябрьский район</t>
  </si>
  <si>
    <t>60641000</t>
  </si>
  <si>
    <t>60641404</t>
  </si>
  <si>
    <t>298</t>
  </si>
  <si>
    <t>Артемовское сельское поселение</t>
  </si>
  <si>
    <t>60641405</t>
  </si>
  <si>
    <t>299</t>
  </si>
  <si>
    <t>Бессергеневское сельское поселение</t>
  </si>
  <si>
    <t>60641408</t>
  </si>
  <si>
    <t>300</t>
  </si>
  <si>
    <t>Каменоломненское городское поселение</t>
  </si>
  <si>
    <t>60641151</t>
  </si>
  <si>
    <t>301</t>
  </si>
  <si>
    <t>Керчикское сельское поселение</t>
  </si>
  <si>
    <t>60641415</t>
  </si>
  <si>
    <t>302</t>
  </si>
  <si>
    <t>Коммунарское сельское поселение</t>
  </si>
  <si>
    <t>60641425</t>
  </si>
  <si>
    <t>303</t>
  </si>
  <si>
    <t>60641430</t>
  </si>
  <si>
    <t>304</t>
  </si>
  <si>
    <t>Краснолучское сельское поселение</t>
  </si>
  <si>
    <t>60641427</t>
  </si>
  <si>
    <t>305</t>
  </si>
  <si>
    <t>Красюковское сельское поселение</t>
  </si>
  <si>
    <t>60641435</t>
  </si>
  <si>
    <t>306</t>
  </si>
  <si>
    <t>Кривянское сельское поселение</t>
  </si>
  <si>
    <t>60641440</t>
  </si>
  <si>
    <t>307</t>
  </si>
  <si>
    <t>Мокрологское сельское поселение</t>
  </si>
  <si>
    <t>60641445</t>
  </si>
  <si>
    <t>308</t>
  </si>
  <si>
    <t>309</t>
  </si>
  <si>
    <t>Персиановское сельское поселение</t>
  </si>
  <si>
    <t>60641450</t>
  </si>
  <si>
    <t>310</t>
  </si>
  <si>
    <t>Орловский район</t>
  </si>
  <si>
    <t>60642000</t>
  </si>
  <si>
    <t>Волочаевское сельское поселение</t>
  </si>
  <si>
    <t>60642411</t>
  </si>
  <si>
    <t>311</t>
  </si>
  <si>
    <t>60642422</t>
  </si>
  <si>
    <t>312</t>
  </si>
  <si>
    <t>Каменно-Балковское сельское поселение</t>
  </si>
  <si>
    <t>60642433</t>
  </si>
  <si>
    <t>313</t>
  </si>
  <si>
    <t>60642438</t>
  </si>
  <si>
    <t>314</t>
  </si>
  <si>
    <t>60642443</t>
  </si>
  <si>
    <t>315</t>
  </si>
  <si>
    <t>Курганенское сельское поселение</t>
  </si>
  <si>
    <t>60642444</t>
  </si>
  <si>
    <t>316</t>
  </si>
  <si>
    <t>Луганское сельское поселение</t>
  </si>
  <si>
    <t>60642460</t>
  </si>
  <si>
    <t>317</t>
  </si>
  <si>
    <t>Майорское сельское поселение</t>
  </si>
  <si>
    <t>60642445</t>
  </si>
  <si>
    <t>318</t>
  </si>
  <si>
    <t>319</t>
  </si>
  <si>
    <t>60642446</t>
  </si>
  <si>
    <t>320</t>
  </si>
  <si>
    <t>Островянское сельское поселение</t>
  </si>
  <si>
    <t>60642448</t>
  </si>
  <si>
    <t>321</t>
  </si>
  <si>
    <t>60642452</t>
  </si>
  <si>
    <t>322</t>
  </si>
  <si>
    <t>Песчанокопский район</t>
  </si>
  <si>
    <t>60644000</t>
  </si>
  <si>
    <t>Богородицкое сельское поселение</t>
  </si>
  <si>
    <t>60644411</t>
  </si>
  <si>
    <t>323</t>
  </si>
  <si>
    <t>60644422</t>
  </si>
  <si>
    <t>324</t>
  </si>
  <si>
    <t>Зареченское сельское поселение</t>
  </si>
  <si>
    <t>60644426</t>
  </si>
  <si>
    <t>325</t>
  </si>
  <si>
    <t>Краснополянское сельское поселение</t>
  </si>
  <si>
    <t>60644433</t>
  </si>
  <si>
    <t>326</t>
  </si>
  <si>
    <t>Летницкое сельское поселение</t>
  </si>
  <si>
    <t>60644444</t>
  </si>
  <si>
    <t>327</t>
  </si>
  <si>
    <t>328</t>
  </si>
  <si>
    <t>Песчанокопское сельское поселение</t>
  </si>
  <si>
    <t>60644455</t>
  </si>
  <si>
    <t>329</t>
  </si>
  <si>
    <t>Поливянское сельское поселение</t>
  </si>
  <si>
    <t>60644466</t>
  </si>
  <si>
    <t>330</t>
  </si>
  <si>
    <t>Развильненское сельское поселение</t>
  </si>
  <si>
    <t>60644477</t>
  </si>
  <si>
    <t>331</t>
  </si>
  <si>
    <t>Рассыпненское сельское поселение</t>
  </si>
  <si>
    <t>60644488</t>
  </si>
  <si>
    <t>332</t>
  </si>
  <si>
    <t>Пролетарский район</t>
  </si>
  <si>
    <t>60645000</t>
  </si>
  <si>
    <t>Буденновское сельское поселение</t>
  </si>
  <si>
    <t>60645405</t>
  </si>
  <si>
    <t>333</t>
  </si>
  <si>
    <t>Дальненское сельское поселение</t>
  </si>
  <si>
    <t>60645410</t>
  </si>
  <si>
    <t>334</t>
  </si>
  <si>
    <t>Ковринское сельское поселение</t>
  </si>
  <si>
    <t>60645415</t>
  </si>
  <si>
    <t>335</t>
  </si>
  <si>
    <t>Мокроельмутянское сельское поселение</t>
  </si>
  <si>
    <t>60645420</t>
  </si>
  <si>
    <t>336</t>
  </si>
  <si>
    <t>60645425</t>
  </si>
  <si>
    <t>337</t>
  </si>
  <si>
    <t>Огневское сельское поселение</t>
  </si>
  <si>
    <t>60645427</t>
  </si>
  <si>
    <t>338</t>
  </si>
  <si>
    <t>Опенкинское сельское поселение</t>
  </si>
  <si>
    <t>60645430</t>
  </si>
  <si>
    <t>339</t>
  </si>
  <si>
    <t>340</t>
  </si>
  <si>
    <t>Пролетарское городское поселение</t>
  </si>
  <si>
    <t>60645101</t>
  </si>
  <si>
    <t>341</t>
  </si>
  <si>
    <t>Суховское сельское поселение</t>
  </si>
  <si>
    <t>60645435</t>
  </si>
  <si>
    <t>342</t>
  </si>
  <si>
    <t>Уютненское сельское поселение</t>
  </si>
  <si>
    <t>60645448</t>
  </si>
  <si>
    <t>343</t>
  </si>
  <si>
    <t>Ремонтненский район</t>
  </si>
  <si>
    <t>60647000</t>
  </si>
  <si>
    <t>Валуевское сельское поселение</t>
  </si>
  <si>
    <t>60647411</t>
  </si>
  <si>
    <t>344</t>
  </si>
  <si>
    <t>Денисовское сельское поселение</t>
  </si>
  <si>
    <t>60647422</t>
  </si>
  <si>
    <t>345</t>
  </si>
  <si>
    <t>60647433</t>
  </si>
  <si>
    <t>346</t>
  </si>
  <si>
    <t>60647435</t>
  </si>
  <si>
    <t>347</t>
  </si>
  <si>
    <t>Кормовское сельское поселение</t>
  </si>
  <si>
    <t>60647437</t>
  </si>
  <si>
    <t>348</t>
  </si>
  <si>
    <t>Краснопартизанское сельское поселение</t>
  </si>
  <si>
    <t>60647444</t>
  </si>
  <si>
    <t>349</t>
  </si>
  <si>
    <t>60647455</t>
  </si>
  <si>
    <t>350</t>
  </si>
  <si>
    <t>Подгорненское сельское поселение</t>
  </si>
  <si>
    <t>60647466</t>
  </si>
  <si>
    <t>351</t>
  </si>
  <si>
    <t>Привольненское сельское поселение</t>
  </si>
  <si>
    <t>60647469</t>
  </si>
  <si>
    <t>352</t>
  </si>
  <si>
    <t>353</t>
  </si>
  <si>
    <t>Ремонтненское сельское поселение</t>
  </si>
  <si>
    <t>60647472</t>
  </si>
  <si>
    <t>354</t>
  </si>
  <si>
    <t>Родионово-Несветайский район</t>
  </si>
  <si>
    <t>60648000</t>
  </si>
  <si>
    <t>Барило-Крепинское сельское поселение</t>
  </si>
  <si>
    <t>60648410</t>
  </si>
  <si>
    <t>355</t>
  </si>
  <si>
    <t>Болдыревское сельское поселение</t>
  </si>
  <si>
    <t>60648415</t>
  </si>
  <si>
    <t>356</t>
  </si>
  <si>
    <t>Большекрепинское сельское поселение</t>
  </si>
  <si>
    <t>60648420</t>
  </si>
  <si>
    <t>357</t>
  </si>
  <si>
    <t>60648425</t>
  </si>
  <si>
    <t>358</t>
  </si>
  <si>
    <t>60648436</t>
  </si>
  <si>
    <t>359</t>
  </si>
  <si>
    <t>360</t>
  </si>
  <si>
    <t>Родионово-Несветайское сельское поселение</t>
  </si>
  <si>
    <t>60648447</t>
  </si>
  <si>
    <t>361</t>
  </si>
  <si>
    <t>Сальский район</t>
  </si>
  <si>
    <t>60650000</t>
  </si>
  <si>
    <t>60650410</t>
  </si>
  <si>
    <t>362</t>
  </si>
  <si>
    <t>Гигантовское сельское поселение</t>
  </si>
  <si>
    <t>60650412</t>
  </si>
  <si>
    <t>363</t>
  </si>
  <si>
    <t>60650415</t>
  </si>
  <si>
    <t>364</t>
  </si>
  <si>
    <t>Ивановское сельское поселение</t>
  </si>
  <si>
    <t>60650420</t>
  </si>
  <si>
    <t>365</t>
  </si>
  <si>
    <t>Кручено-Балковское сельское поселение</t>
  </si>
  <si>
    <t>60650425</t>
  </si>
  <si>
    <t>366</t>
  </si>
  <si>
    <t>60650430</t>
  </si>
  <si>
    <t>367</t>
  </si>
  <si>
    <t>Новоегорлыкское сельское поселение</t>
  </si>
  <si>
    <t>60650435</t>
  </si>
  <si>
    <t>368</t>
  </si>
  <si>
    <t>Рыбасовское сельское поселение</t>
  </si>
  <si>
    <t>60650442</t>
  </si>
  <si>
    <t>369</t>
  </si>
  <si>
    <t>370</t>
  </si>
  <si>
    <t>Сальское городское поселение</t>
  </si>
  <si>
    <t>60650101</t>
  </si>
  <si>
    <t>371</t>
  </si>
  <si>
    <t>Сандатовское сельское поселение</t>
  </si>
  <si>
    <t>60650445</t>
  </si>
  <si>
    <t>372</t>
  </si>
  <si>
    <t>Юловское сельское поселение</t>
  </si>
  <si>
    <t>60650460</t>
  </si>
  <si>
    <t>373</t>
  </si>
  <si>
    <t>Семикаракорский район</t>
  </si>
  <si>
    <t>60651000</t>
  </si>
  <si>
    <t>Бакланниковское сельское поселение</t>
  </si>
  <si>
    <t>60651404</t>
  </si>
  <si>
    <t>374</t>
  </si>
  <si>
    <t>Большемечетновское сельское поселение</t>
  </si>
  <si>
    <t>60651405</t>
  </si>
  <si>
    <t>375</t>
  </si>
  <si>
    <t>Задоно-Кагальницкое сельское поселение</t>
  </si>
  <si>
    <t>60651410</t>
  </si>
  <si>
    <t>376</t>
  </si>
  <si>
    <t>Золоторевское сельское поселение</t>
  </si>
  <si>
    <t>60651415</t>
  </si>
  <si>
    <t>377</t>
  </si>
  <si>
    <t>Кочетовское сельское поселение</t>
  </si>
  <si>
    <t>60651420</t>
  </si>
  <si>
    <t>378</t>
  </si>
  <si>
    <t>Кузнецовское сельское поселение</t>
  </si>
  <si>
    <t>60651425</t>
  </si>
  <si>
    <t>379</t>
  </si>
  <si>
    <t>Новозолотовское сельское поселение</t>
  </si>
  <si>
    <t>60651430</t>
  </si>
  <si>
    <t>380</t>
  </si>
  <si>
    <t>381</t>
  </si>
  <si>
    <t>Семикаракорское городское поселение</t>
  </si>
  <si>
    <t>60651101</t>
  </si>
  <si>
    <t>382</t>
  </si>
  <si>
    <t>Сусатское сельское поселение</t>
  </si>
  <si>
    <t>60651440</t>
  </si>
  <si>
    <t>383</t>
  </si>
  <si>
    <t>Топилинское сельское поселение</t>
  </si>
  <si>
    <t>60651450</t>
  </si>
  <si>
    <t>384</t>
  </si>
  <si>
    <t>Советский район</t>
  </si>
  <si>
    <t>60652000</t>
  </si>
  <si>
    <t>Калач-Куртлакское сельское поселение</t>
  </si>
  <si>
    <t>60652414</t>
  </si>
  <si>
    <t>385</t>
  </si>
  <si>
    <t>386</t>
  </si>
  <si>
    <t>Советское сельское поселение</t>
  </si>
  <si>
    <t>60652426</t>
  </si>
  <si>
    <t>387</t>
  </si>
  <si>
    <t>Чирское сельское поселение</t>
  </si>
  <si>
    <t>60652437</t>
  </si>
  <si>
    <t>388</t>
  </si>
  <si>
    <t>Тарасовский район</t>
  </si>
  <si>
    <t>60653000</t>
  </si>
  <si>
    <t>Большинское сельское поселение</t>
  </si>
  <si>
    <t>60653405</t>
  </si>
  <si>
    <t>389</t>
  </si>
  <si>
    <t>Войковское сельское поселение</t>
  </si>
  <si>
    <t>60653410</t>
  </si>
  <si>
    <t>390</t>
  </si>
  <si>
    <t>Дячкинское сельское поселение</t>
  </si>
  <si>
    <t>60653415</t>
  </si>
  <si>
    <t>391</t>
  </si>
  <si>
    <t>Ефремово-Степановское сельское поселение</t>
  </si>
  <si>
    <t>60653420</t>
  </si>
  <si>
    <t>392</t>
  </si>
  <si>
    <t>Зеленовское сельское поселение</t>
  </si>
  <si>
    <t>60653425</t>
  </si>
  <si>
    <t>393</t>
  </si>
  <si>
    <t>Колушкинское сельское поселение</t>
  </si>
  <si>
    <t>60653430</t>
  </si>
  <si>
    <t>394</t>
  </si>
  <si>
    <t>60653435</t>
  </si>
  <si>
    <t>395</t>
  </si>
  <si>
    <t>Курно-Липовское сельское поселение</t>
  </si>
  <si>
    <t>60653440</t>
  </si>
  <si>
    <t>396</t>
  </si>
  <si>
    <t>Митякинское сельское поселение</t>
  </si>
  <si>
    <t>60653445</t>
  </si>
  <si>
    <t>397</t>
  </si>
  <si>
    <t>398</t>
  </si>
  <si>
    <t>Тарасовское сельское поселение</t>
  </si>
  <si>
    <t>60653453</t>
  </si>
  <si>
    <t>399</t>
  </si>
  <si>
    <t>Тацинский район</t>
  </si>
  <si>
    <t>60654000</t>
  </si>
  <si>
    <t>Быстрогорское сельское поселение</t>
  </si>
  <si>
    <t>60654407</t>
  </si>
  <si>
    <t>400</t>
  </si>
  <si>
    <t>Верхнеобливское сельское поселение</t>
  </si>
  <si>
    <t>60654411</t>
  </si>
  <si>
    <t>401</t>
  </si>
  <si>
    <t>Ермаковское сельское поселение</t>
  </si>
  <si>
    <t>60654422</t>
  </si>
  <si>
    <t>402</t>
  </si>
  <si>
    <t>Жирновское сельское поселение</t>
  </si>
  <si>
    <t>60654424</t>
  </si>
  <si>
    <t>403</t>
  </si>
  <si>
    <t>Зазерское сельское поселение</t>
  </si>
  <si>
    <t>60654433</t>
  </si>
  <si>
    <t>404</t>
  </si>
  <si>
    <t>Ковылкинское сельское поселение</t>
  </si>
  <si>
    <t>60654444</t>
  </si>
  <si>
    <t>405</t>
  </si>
  <si>
    <t>60654448</t>
  </si>
  <si>
    <t>406</t>
  </si>
  <si>
    <t>Скосырское сельское поселение</t>
  </si>
  <si>
    <t>60654456</t>
  </si>
  <si>
    <t>407</t>
  </si>
  <si>
    <t>60654460</t>
  </si>
  <si>
    <t>408</t>
  </si>
  <si>
    <t>409</t>
  </si>
  <si>
    <t>Тацинское сельское поселение</t>
  </si>
  <si>
    <t>60654465</t>
  </si>
  <si>
    <t>410</t>
  </si>
  <si>
    <t>Углегорское сельское поселение</t>
  </si>
  <si>
    <t>60654467</t>
  </si>
  <si>
    <t>411</t>
  </si>
  <si>
    <t>Усть-Донецкий район</t>
  </si>
  <si>
    <t>60655000</t>
  </si>
  <si>
    <t>Апаринское сельское поселение</t>
  </si>
  <si>
    <t>60655405</t>
  </si>
  <si>
    <t>412</t>
  </si>
  <si>
    <t>Верхнекудрюченское сельское поселение</t>
  </si>
  <si>
    <t>60655410</t>
  </si>
  <si>
    <t>413</t>
  </si>
  <si>
    <t>60655423</t>
  </si>
  <si>
    <t>414</t>
  </si>
  <si>
    <t>Мелиховское сельское поселение</t>
  </si>
  <si>
    <t>60655428</t>
  </si>
  <si>
    <t>415</t>
  </si>
  <si>
    <t>Нижнекундрюченское сельское поселение</t>
  </si>
  <si>
    <t>60655432</t>
  </si>
  <si>
    <t>416</t>
  </si>
  <si>
    <t>Пухляковское сельское поселение</t>
  </si>
  <si>
    <t>60655440</t>
  </si>
  <si>
    <t>417</t>
  </si>
  <si>
    <t>Раздорское сельское поселение</t>
  </si>
  <si>
    <t>60655450</t>
  </si>
  <si>
    <t>418</t>
  </si>
  <si>
    <t>419</t>
  </si>
  <si>
    <t>Усть-Донецкое городское поселение</t>
  </si>
  <si>
    <t>60655151</t>
  </si>
  <si>
    <t>420</t>
  </si>
  <si>
    <t>Целинский район</t>
  </si>
  <si>
    <t>60656000</t>
  </si>
  <si>
    <t>60656420</t>
  </si>
  <si>
    <t>421</t>
  </si>
  <si>
    <t>Лопанское сельское поселение</t>
  </si>
  <si>
    <t>60656425</t>
  </si>
  <si>
    <t>422</t>
  </si>
  <si>
    <t>60656430</t>
  </si>
  <si>
    <t>423</t>
  </si>
  <si>
    <t>Новоцелинское сельское поселение</t>
  </si>
  <si>
    <t>60656432</t>
  </si>
  <si>
    <t>424</t>
  </si>
  <si>
    <t>Ольшанское сельское поселение</t>
  </si>
  <si>
    <t>60656435</t>
  </si>
  <si>
    <t>425</t>
  </si>
  <si>
    <t>Среднеегорлыкское сельское поселение</t>
  </si>
  <si>
    <t>60656440</t>
  </si>
  <si>
    <t>426</t>
  </si>
  <si>
    <t>Хлеборобное сельское поселение</t>
  </si>
  <si>
    <t>60656450</t>
  </si>
  <si>
    <t>427</t>
  </si>
  <si>
    <t>428</t>
  </si>
  <si>
    <t>Целинское сельское поселение</t>
  </si>
  <si>
    <t>60656455</t>
  </si>
  <si>
    <t>429</t>
  </si>
  <si>
    <t>60656460</t>
  </si>
  <si>
    <t>430</t>
  </si>
  <si>
    <t>Цимлянский район</t>
  </si>
  <si>
    <t>60657000</t>
  </si>
  <si>
    <t>60657420</t>
  </si>
  <si>
    <t>431</t>
  </si>
  <si>
    <t>Красноярское сельское поселение</t>
  </si>
  <si>
    <t>60657430</t>
  </si>
  <si>
    <t>432</t>
  </si>
  <si>
    <t>Лозновское сельское поселение</t>
  </si>
  <si>
    <t>60657433</t>
  </si>
  <si>
    <t>433</t>
  </si>
  <si>
    <t>Маркинское сельское поселение</t>
  </si>
  <si>
    <t>60657435</t>
  </si>
  <si>
    <t>434</t>
  </si>
  <si>
    <t>Новоцимлянское сельское поселение</t>
  </si>
  <si>
    <t>60657440</t>
  </si>
  <si>
    <t>435</t>
  </si>
  <si>
    <t>Саркеловское сельское поселение</t>
  </si>
  <si>
    <t>60657444</t>
  </si>
  <si>
    <t>436</t>
  </si>
  <si>
    <t>437</t>
  </si>
  <si>
    <t>Цимлянское городское поселение</t>
  </si>
  <si>
    <t>60657101</t>
  </si>
  <si>
    <t>438</t>
  </si>
  <si>
    <t>Чертковский район</t>
  </si>
  <si>
    <t>60658000</t>
  </si>
  <si>
    <t>Алексеево-Лозовское сельское поселение</t>
  </si>
  <si>
    <t>60658404</t>
  </si>
  <si>
    <t>439</t>
  </si>
  <si>
    <t>60658416</t>
  </si>
  <si>
    <t>440</t>
  </si>
  <si>
    <t>Зубрилинское сельское поселение</t>
  </si>
  <si>
    <t>60658420</t>
  </si>
  <si>
    <t>441</t>
  </si>
  <si>
    <t>60658424</t>
  </si>
  <si>
    <t>442</t>
  </si>
  <si>
    <t>Маньковское сельское поселение</t>
  </si>
  <si>
    <t>60658428</t>
  </si>
  <si>
    <t>443</t>
  </si>
  <si>
    <t>Михайлово-Александровское сельское поселение</t>
  </si>
  <si>
    <t>60658432</t>
  </si>
  <si>
    <t>444</t>
  </si>
  <si>
    <t>Нагибинское сельское поселение</t>
  </si>
  <si>
    <t>60658434</t>
  </si>
  <si>
    <t>445</t>
  </si>
  <si>
    <t>Ольховчанское сельское поселение</t>
  </si>
  <si>
    <t>60658436</t>
  </si>
  <si>
    <t>446</t>
  </si>
  <si>
    <t>Осиковское сельское поселение</t>
  </si>
  <si>
    <t>60658438</t>
  </si>
  <si>
    <t>447</t>
  </si>
  <si>
    <t>Сетрковское сельское поселение</t>
  </si>
  <si>
    <t>60658444</t>
  </si>
  <si>
    <t>448</t>
  </si>
  <si>
    <t>Сохрановское сельское поселение</t>
  </si>
  <si>
    <t>60658448</t>
  </si>
  <si>
    <t>449</t>
  </si>
  <si>
    <t>450</t>
  </si>
  <si>
    <t>Чертковское сельское поселение</t>
  </si>
  <si>
    <t>60658454</t>
  </si>
  <si>
    <t>451</t>
  </si>
  <si>
    <t>Шептуховское сельское поселение</t>
  </si>
  <si>
    <t>60658456</t>
  </si>
  <si>
    <t>452</t>
  </si>
  <si>
    <t>Щедровское сельское поселение</t>
  </si>
  <si>
    <t>60658460</t>
  </si>
  <si>
    <t>453</t>
  </si>
  <si>
    <t>Шолоховский район</t>
  </si>
  <si>
    <t>60659000</t>
  </si>
  <si>
    <t>Базковское сельское поселение</t>
  </si>
  <si>
    <t>60659405</t>
  </si>
  <si>
    <t>454</t>
  </si>
  <si>
    <t>Вешенское сельское поселение</t>
  </si>
  <si>
    <t>60659410</t>
  </si>
  <si>
    <t>455</t>
  </si>
  <si>
    <t>Дубровское сельское поселение</t>
  </si>
  <si>
    <t>60659415</t>
  </si>
  <si>
    <t>456</t>
  </si>
  <si>
    <t>Дударевское сельское поселение</t>
  </si>
  <si>
    <t>60659420</t>
  </si>
  <si>
    <t>457</t>
  </si>
  <si>
    <t>60659425</t>
  </si>
  <si>
    <t>458</t>
  </si>
  <si>
    <t>Колундаевское сельское поселение</t>
  </si>
  <si>
    <t>60659430</t>
  </si>
  <si>
    <t>459</t>
  </si>
  <si>
    <t>Кружилинское сельское поселение</t>
  </si>
  <si>
    <t>60659435</t>
  </si>
  <si>
    <t>460</t>
  </si>
  <si>
    <t>Меркуловское сельское поселение</t>
  </si>
  <si>
    <t>60659440</t>
  </si>
  <si>
    <t>461</t>
  </si>
  <si>
    <t>Терновское сельское поселение</t>
  </si>
  <si>
    <t>60659460</t>
  </si>
  <si>
    <t>462</t>
  </si>
  <si>
    <t>463</t>
  </si>
  <si>
    <t>NUMBER_POINT</t>
  </si>
  <si>
    <t>L_NAME</t>
  </si>
  <si>
    <t>L_START_DATE</t>
  </si>
  <si>
    <t>L_END_DATE</t>
  </si>
  <si>
    <t>Инвестиционная программа № 217 от 30.10.2023 МУП "Тепло МРЗ" в сфере теплоснабжения по строительству, реконструкции и модернизации тепловых сетей, на территории городского округа Каменск-Шахтинский на 2024 год</t>
  </si>
  <si>
    <t>01.01.2024</t>
  </si>
  <si>
    <t>31.12.2024</t>
  </si>
  <si>
    <t>Инвестиционная программа № 218 от 30.10.2023 Филиал ПАО "ОГК-2" Новочеркасская ГРЭС в сфере теплоснабжения по реконструкции и модернизации тепловых сетей, на территории городского округа Новочеркасск на 2024 год</t>
  </si>
  <si>
    <t>Инвестиционная программа № 219 от 30.10.2023 ООО "Шахтинская ГТЭС" в сфере теплоснабжения по модернизации и развитию систем коммунальной инфраструктуры, на территории городского округа Шахты на 2024-2025 годы</t>
  </si>
  <si>
    <t>31.12.2025</t>
  </si>
  <si>
    <t>Инвестиционная программа № 220 от 30.10.2023 МУП "Красносулинские городские теплосети" в сфере теплоснабжения по реконструкции и модернизации существующих объектов тепловых сетей, на территории городского поселения Красносулинское, Красносулинский район на 2024 год</t>
  </si>
  <si>
    <t>Инвестиционная программа № 221 от 30.10.2023 МУП "Красносулинские городские теплосети" в сфере теплоснабжения по реконструкции и модернизации существующих объектов тепловых сетей, на территории муниципального района Красносулинский на 2024 год</t>
  </si>
  <si>
    <t>Инвестиционная программа № 222 от 30.10.2023 ООО "ДТС" в сфере теплоснабжения по строительству и модернизации централизованных систем теплоснабжения, на территории городского округа Батайск на 2024-2025 годы</t>
  </si>
  <si>
    <t>Инвестиционная программа № 222 от 30.10.2023 ООО "ДТС" в сфере теплоснабжения по строительству централизованных систем теплоснабжения, на территории городского округа Гуково на 2024-2025 годы</t>
  </si>
  <si>
    <t>Инвестиционная программа № 222 от 30.10.2023 Филиал АО "Донэнерго" - "Тепловые сети" в сфере теплоснабжения по строительству централизованных систем теплоснабжения, на территории городского округа Шахты на 2024-2025 годы</t>
  </si>
  <si>
    <t>Инвестиционная программа № 224 от 30.10.2023 АО "Теплокоммунэнерго" в сфере теплоснабжения по реконструкции и модернизации существующих объектов тепловых сетей, на территории городского округа Ростов-на-Дону на 2024 год</t>
  </si>
  <si>
    <t>Инвестиционная программа № 226 от 30.10.2023 МП г. Новошахтинска "Коммунальные котельные и тепловые сети" в сфере теплоснабжения по строительству и модернизации централизованных систем теплоснабжения, на территории городского округа Новошахтинск на 2024 год</t>
  </si>
  <si>
    <t>Инвестиционная программа № 229 от 30.10.2023 МУП г. Азова "Теплоэнерго" в сфере теплоснабжения по строительству централизованных систем теплоснабжения, на территории городского округа Азов на 2024-2025 годы</t>
  </si>
  <si>
    <t>Инвестиционная программа № 230 от 30.10.2023 МУП "Каменсктеплосеть" в сфере теплоснабжения по реконструкции и модернизации централизованных систем теплоснабжения, на территории городского округа Каменск-Шахтинский на 2024-2028 годы</t>
  </si>
  <si>
    <t>31.12.2028</t>
  </si>
  <si>
    <t>Инвестиционная программа № 231 от 30.10.2023 МУП "Новочеркасские тепловые сети" в сфере теплоснабжения по реконструкции и модернизации существующих объектов тепловых сетей, на территории городского округа Новочеркасск на 2024-2025 годы</t>
  </si>
  <si>
    <t>Инвестиционная программа № 232 от 30.10.2023 Филиал ООО "Сириус" в г. Новочеркасске в сфере теплоснабжения по строительству объектов, на территории городского округа Новочеркасск на 2024-2025 годы</t>
  </si>
  <si>
    <t>Инвестиционная программа № 4/2 от 13.02.2020 ООО "Распределенная генерация - Батайск" в сфере теплоснабжения по модернизации и реконструкции единого комплекса объектов, на территории городского округа Батайск на 2020 год</t>
  </si>
  <si>
    <t>13.02.2020</t>
  </si>
  <si>
    <t>31.12.2020</t>
  </si>
  <si>
    <t>Инвестиционная программа № 4/2 от 13.02.2020 ООО "Распределенная генерация - Батайск" в сфере теплоснабжения по модернизации, реконструкции и техническому перевооружению котельных и тепловых сетей, на территории городского округа Батайск на 2020 год</t>
  </si>
  <si>
    <t>14.02.2020</t>
  </si>
  <si>
    <t>Инвестиционная программа № 42/7 от 27.10.2020 АО "Теплокоммунэнерго" в сфере теплоснабжения по модернизации и реконструкции котельных и тепловых сетей, на территории городского округа Ростов-на-Дону на 2021 год</t>
  </si>
  <si>
    <t>01.01.2021</t>
  </si>
  <si>
    <t>31.12.2021</t>
  </si>
  <si>
    <t>Инвестиционная программа № 42/8 от 27.10.2020 МУП г. Азова "Теплоэнерго" в сфере теплоснабжения по модернизации и реконструкции системы центрального теплоснабжения (за исключением тепловых сетей), на территории городского округа Азов на 2021 год</t>
  </si>
  <si>
    <t>Инвестиционная программа № 51/6 от 29.10.2019 АО "Теплокоммунэнерго" в сфере теплоснабжения по модернизации и реконструкции систем теплоснабжения на 2020 год</t>
  </si>
  <si>
    <t>01.01.2020</t>
  </si>
  <si>
    <t>Инвестиционная программа № 51/6 от 29.10.2019 АО "Теплокоммунэнерго" в сфере теплоснабжения по модернизации и реконструкции систем теплоснабжения, на территории городского округа Ростов-на-Дону на 2020 год</t>
  </si>
  <si>
    <t>Инвестиционная программа № 51/7 от 29.10.2019 ООО "Фирма "Ток" в сфере теплоснабжения по модернизации и реконструкции инфраструктуры на 2020-2022 годы</t>
  </si>
  <si>
    <t>31.12.2022</t>
  </si>
  <si>
    <t>Инвестиционная программа № 51/7 от 29.10.2019 ООО "Фирма "Ток" в сфере теплоснабжения по модернизации и реконструкции инфраструктуры, на территории городского округа Новочеркасск на 2020-2023 годы</t>
  </si>
  <si>
    <t>31.12.2023</t>
  </si>
  <si>
    <t>Инвестиционная программа № 51/7 от 29.10.2019 ООО "Фирма "Ток" в сфере теплоснабжения по модернизации и реконструкции объектов, на территории городского округа Новочеркасск на 2020-2023 годы</t>
  </si>
  <si>
    <t>Инвестиционная программа № 52/53 от 26.10.2021 МУП г. Азова "Теплоэнерго" в сфере теплоснабжения по модернизации и реконструкции единого комплекса объектов, на территории городского округа Азов на 2022 год</t>
  </si>
  <si>
    <t>01.11.2022</t>
  </si>
  <si>
    <t>Инвестиционная программа № 52/53 от 26.10.2021 МУП г. Азова "Теплоэнерго" в сфере теплоснабжения по строительству и модернизации имущественного комплекса, на территории городского округа Азов на 2022 год</t>
  </si>
  <si>
    <t>01.01.2022</t>
  </si>
  <si>
    <t>Инвестиционная программа № 52/53 от 26.10.2021 МУП г. Азова "Теплоэнерго" в сфере теплоснабжения по строительству и модернизации систем коммунальной инфраструктуры, на территории городского округа Азов на 2022 год</t>
  </si>
  <si>
    <t>Инвестиционная программа № 52/54 от 26.10.2021 ООО "АКДЭНЕРГО" в сфере теплоснабжения по реконструкции существующих объектов единого комплекса объектов, на территории муниципального района Аксайский на 2022-2024 годы</t>
  </si>
  <si>
    <t>Инвестиционная программа № 52/55 от 26.10.2021 МП г. Новошахтинска "Коммунальные котельные и тепловые сети" в сфере теплоснабжения по строительству и модернизации систем коммунальной инфраструктуры, на территории городского округа Новошахтинск на 2022-2023 годы</t>
  </si>
  <si>
    <t>Инвестиционная программа № 52/56 от 26.10.2021 МУП "Городское Хозяйство" в сфере теплоснабжения по строительству, реконструкции и модернизации систем коммунальной инфраструктуры, на территории городского округа Таганрог на 2022-2025 годы</t>
  </si>
  <si>
    <t>Инвестиционная программа № 52/64 от 26.10.2021 АО "Теплокоммунэнерго" в сфере теплоснабжения по модернизации и реконструкции систем коммунальной инфраструктуры, на территории городского округа Ростов-на-Дону на 2022 год</t>
  </si>
  <si>
    <t>Инвестиционная программа № 56/10 от 28.10.2022 ООО "Донтеплоэнерго Север" в сфере теплоснабжения по модернизации и реконструкции тепловых сетей, на территории муниципального района Миллеровский на 2023 год</t>
  </si>
  <si>
    <t>01.01.2023</t>
  </si>
  <si>
    <t>Инвестиционная программа № 56/11 от 28.10.2022 Филиал ПАО "ОГК-2" Новочеркасская ГРЭС в сфере теплоснабжения по модернизации и реконструкции тепловых сетей, на территории городского округа Новочеркасск на 2023 год</t>
  </si>
  <si>
    <t>Инвестиционная программа № 56/2 от 28.10.2022 ООО "ВОЛГОДОНСКАЯ ТЭЦ-1" в сфере теплоснабжения по реконструкции и модернизации систем коммунальной инфраструктуры, на территории городского округа Волгодонск на 2023-2027 годы</t>
  </si>
  <si>
    <t>31.12.2027</t>
  </si>
  <si>
    <t>Инвестиционная программа № 56/3 от 28.10.2022 МУП "Тепло МРЗ" в сфере теплоснабжения по модернизации и реконструкции тепловых сетей, на территории городского округа Каменск-Шахтинский на 2023 год</t>
  </si>
  <si>
    <t>Инвестиционная программа № 56/4 от 28.10.2022 ООО "Шахтинская ГТЭС" в сфере теплоснабжения по строительству, реконструкции и модернизации объектов, на территории городского округа Шахты на 2023 год</t>
  </si>
  <si>
    <t>Инвестиционная программа № 56/5 от 28.10.2022 МУП г. Азова "Теплоэнерго" в сфере теплоснабжения по реконструкции и модернизации существующих объектов инфраструктуры, на территории городского округа Азов на 2023 год</t>
  </si>
  <si>
    <t>Инвестиционная программа № 56/9 от 28.10.2022 ООО "Волгодонские тепловые сети" в сфере теплоснабжения по реконструкции и модернизации тепловых сетей, на территории городского округа Волгодонск на 2023-2024 годы</t>
  </si>
  <si>
    <t>Инвестиционная программа № 59/1 от 19.11.2021 ООО "Распределенная генерация - Шахты" в сфере теплоснабжения по модернизации и реконструкции имущественного комплекса, на территории городского округа Шахты на 2021-2027 годы</t>
  </si>
  <si>
    <t>19.11.2021</t>
  </si>
  <si>
    <t>Инвестиционная программа № 61/1 от 11.11.2022 ООО "Ростовские тепловые сети" в сфере теплоснабжения по реконструкции и модернизации существующих объектов систем коммунальной инфраструктуры, на территории городского округа Ростов-на-Дону на 2023-2024 годы</t>
  </si>
  <si>
    <t>Инвестиционная программа № 61/2 от 11.11.2021 АО "Теплокоммунэнерго" в сфере теплоснабжения по реконструкции и модернизации объектов, на территории городского округа Ростов-на-Дону на 2023 год</t>
  </si>
  <si>
    <t>Инвестиционная программа № 62/5 от 23.10.2018 МУП "Каменсктеплосеть" в сфере теплоснабжения и горячего водоснабжения по модернизации и реконструкции объектов, на территории городского округа Каменск-Шахтинский на 2019-2023 годы</t>
  </si>
  <si>
    <t>01.01.2019</t>
  </si>
  <si>
    <t>Инвестиционная программа № 62/5 от 23.10.2018 МУП "Каменсктеплосеть" в сфере теплоснабжения по реконструкции и модернизации существующих объектов объектов, на территории городского округа Каменск-Шахтинский на 2019-2023 годы</t>
  </si>
  <si>
    <t>Инвестиционная программа № 63/2 от 25.10.2018 АО "Краснодартеплосеть" в сфере теплоснабжения по комплексному развитию котельных и тепловых сетей, на территории городского округа Ростов-на-Дону на 2019-2023 годы</t>
  </si>
  <si>
    <t>Инвестиционная программа МП г. Новошахтинска "Коммунальные котельные и тепловые сети" по модернизации и реконструкции системы коммунальной инфраструктуры в сфере теплоснабжения на территории города Новошахтинск на 2018-2020 годы</t>
  </si>
  <si>
    <t>01.01.2018</t>
  </si>
  <si>
    <t>Инвестиционная программа от 26.10.2021 ООО "Шахтинская ГТЭС" в сфере теплоснабжения по реконструкции и техническому перевооружению тепловой сети, на территории городского округа Шахты на 2022 год</t>
  </si>
  <si>
    <t>Инвестиционная программа от 29.10.2020 МУП "Тепло МРЗ" в сфере теплоснабжения по модернизации и реконструкции объектов, на территории городского округа Каменск-Шахтинский на 2021-2022 годы</t>
  </si>
  <si>
    <t>Инвестиционная программа от 30.10.2023 ООО "Распределенная генерация" в сфере теплоснабжения по реконструкции и модернизации существующих объектов тепловых сетей, на территории муниципального района Белокалитвинский на 2024-2025 годы</t>
  </si>
  <si>
    <t>01.12.2025</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</si>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</sst>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000000"/>
    <numFmt numFmtId="172" formatCode="#,##0.000"/>
    <numFmt numFmtId="173" formatCode="#,##0.0000"/>
    <numFmt numFmtId="174" formatCode="dd\.mm\.yyyy"/>
  </numFmts>
  <fonts count="116">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0"/>
      <color auto="1"/>
      <name val="Arial Cyr"/>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b/>
      <sz val="9"/>
      <color rgb="FF000080"/>
      <name val="Tahoma"/>
    </font>
    <font>
      <u/>
      <sz val="1"/>
      <color rgb="FF333399"/>
      <name val="Tahoma"/>
    </font>
    <font>
      <sz val="15"/>
      <color auto="1"/>
      <name val="Tahoma"/>
    </font>
    <font>
      <sz val="1"/>
      <color auto="1"/>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u/>
      <sz val="9"/>
      <color theme="10"/>
      <name val="Tahoma"/>
    </font>
  </fonts>
  <fills count="56">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BCBCBC"/>
      </patternFill>
    </fill>
    <fill>
      <patternFill patternType="solid">
        <fgColor rgb="FFEAEBEE"/>
      </patternFill>
    </fill>
  </fills>
  <borders count="77">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style="thin">
        <color theme="0" tint="-0.25"/>
      </right>
      <top style="thin">
        <color rgb="FFC0C0C0"/>
      </top>
      <bottom style="medium">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rgb="FFC0C0C0"/>
      </left>
      <right style="thin">
        <color rgb="FFC0C0C0"/>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right style="thin">
        <color rgb="FFBCBCBC"/>
      </right>
      <top style="thin">
        <color rgb="FFBCBCBC"/>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C0C0C0"/>
      </left>
      <right style="thin">
        <color rgb="FFC0C0C0"/>
      </right>
      <top style="thin">
        <color rgb="FFBCBCBC"/>
      </top>
      <bottom style="thin">
        <color rgb="FFBCBCBC"/>
      </bottom>
    </border>
    <border>
      <left style="thin">
        <color rgb="FFBCBCBC"/>
      </left>
      <right/>
      <top style="thin">
        <color rgb="FFBCBCBC"/>
      </top>
      <bottom style="thin">
        <color rgb="FFC0C0C0"/>
      </bottom>
    </border>
    <border>
      <left/>
      <right style="thin">
        <color rgb="FFC0C0C0"/>
      </right>
      <top style="thin">
        <color rgb="FFC0C0C0"/>
      </top>
      <bottom style="medium">
        <color rgb="FFC0C0C0"/>
      </bottom>
    </border>
  </borders>
  <cellStyleXfs count="47">
    <xf numFmtId="49" fontId="0" fillId="0" borderId="0" applyFont="1" applyFill="0" applyBorder="0">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cellStyleXfs>
  <cellXfs count="5363">
    <xf numFmtId="49" fontId="0" fillId="0" borderId="0" xfId="0" applyFont="1" applyNumberForma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NumberFormat="1">
      <alignment vertical="top"/>
    </xf>
    <xf numFmtId="41" fontId="6" fillId="0" borderId="0" xfId="29" applyNumberFormat="1">
      <alignment vertical="top"/>
    </xf>
    <xf numFmtId="44" fontId="6" fillId="0" borderId="0" xfId="30" applyNumberFormat="1">
      <alignment vertical="top"/>
    </xf>
    <xf numFmtId="42" fontId="6" fillId="0" borderId="0" xfId="3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ill="1" applyBorder="1">
      <alignment vertical="top"/>
    </xf>
    <xf numFmtId="0" fontId="15" fillId="27" borderId="8" xfId="42" applyFont="1" applyFill="1" applyBorder="1">
      <alignment vertical="top"/>
    </xf>
    <xf numFmtId="9" fontId="6" fillId="0" borderId="0" xfId="43"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49" fontId="0" fillId="0" borderId="0" xfId="0" applyFont="1" applyNumberFormat="1">
      <alignment vertical="top"/>
    </xf>
    <xf numFmtId="0" fontId="19" fillId="0" borderId="0" xfId="0" applyFont="1" applyNumberFormat="1">
      <alignment vertical="top" wrapText="1"/>
    </xf>
    <xf numFmtId="49" fontId="19" fillId="0" borderId="0" xfId="0" applyFont="1" applyNumberFormat="1">
      <alignment vertical="top"/>
    </xf>
    <xf numFmtId="49" fontId="0" fillId="0" borderId="0" xfId="0" applyFont="1" applyNumberFormat="1">
      <alignment vertical="top"/>
    </xf>
    <xf numFmtId="49" fontId="19" fillId="33" borderId="10" xfId="0" applyFont="1" applyFill="1" applyBorder="1" applyNumberFormat="1">
      <alignment horizontal="center" vertical="top"/>
    </xf>
    <xf numFmtId="49" fontId="0" fillId="0" borderId="0" xfId="0" applyFont="1" applyNumberFormat="1">
      <alignment vertical="top"/>
    </xf>
    <xf numFmtId="0" fontId="19" fillId="0" borderId="0" xfId="0" applyFont="1" applyNumberFormat="1"/>
    <xf numFmtId="0" fontId="19" fillId="34" borderId="0" xfId="0" applyFont="1" applyFill="1" applyNumberFormat="1"/>
    <xf numFmtId="0" fontId="20" fillId="0" borderId="0" xfId="0" applyFont="1" applyNumberFormat="1">
      <alignment vertical="center" wrapText="1"/>
    </xf>
    <xf numFmtId="0" fontId="21" fillId="0" borderId="0" xfId="0" applyFont="1" applyNumberFormat="1">
      <alignment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22" fillId="34" borderId="0" xfId="0" applyFont="1" applyFill="1" applyNumberFormat="1">
      <alignment vertical="center" wrapText="1"/>
    </xf>
    <xf numFmtId="0" fontId="19" fillId="34" borderId="0" xfId="0" applyFont="1" applyFill="1" applyNumberFormat="1">
      <alignment horizontal="right" vertical="center" wrapText="1" indent="1"/>
    </xf>
    <xf numFmtId="0" fontId="19" fillId="34" borderId="0" xfId="0" applyFont="1" applyFill="1" applyNumberFormat="1">
      <alignment horizontal="center" vertical="center" wrapText="1"/>
    </xf>
    <xf numFmtId="0" fontId="21" fillId="0" borderId="0" xfId="0" applyFont="1" applyNumberFormat="1">
      <alignment horizontal="center" vertical="center" wrapText="1"/>
    </xf>
    <xf numFmtId="0" fontId="23" fillId="34" borderId="0" xfId="0" applyFont="1" applyFill="1" applyNumberFormat="1">
      <alignment horizontal="center" vertical="center" wrapText="1"/>
    </xf>
    <xf numFmtId="0" fontId="19" fillId="0" borderId="0" xfId="0" applyFont="1" applyNumberFormat="1">
      <alignment vertical="center"/>
    </xf>
    <xf numFmtId="49" fontId="19" fillId="34" borderId="0" xfId="0" applyFont="1" applyFill="1" applyNumberFormat="1">
      <alignment horizontal="right" vertical="center" wrapText="1" indent="1"/>
    </xf>
    <xf numFmtId="49" fontId="22" fillId="34" borderId="0" xfId="0" applyFont="1" applyFill="1" applyNumberFormat="1">
      <alignment horizontal="center"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0" xfId="0" applyFont="1" applyFill="1" applyNumberFormat="1">
      <alignment horizontal="right" vertical="center" wrapText="1"/>
    </xf>
    <xf numFmtId="49" fontId="0" fillId="34" borderId="0" xfId="0" applyFont="1" applyFill="1" applyNumberFormat="1">
      <alignment horizontal="right" vertical="center" wrapText="1" indent="1"/>
    </xf>
    <xf numFmtId="49" fontId="24" fillId="34"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25" fillId="34" borderId="0" xfId="0" applyFont="1" applyFill="1" applyNumberFormat="1">
      <alignment horizontal="center" vertical="center" wrapText="1"/>
    </xf>
    <xf numFmtId="0" fontId="25" fillId="0" borderId="0" xfId="0" applyFont="1" applyNumberFormat="1">
      <alignment horizontal="center" vertical="center"/>
    </xf>
    <xf numFmtId="0" fontId="25" fillId="34" borderId="0" xfId="0" applyFont="1" applyFill="1" applyNumberFormat="1">
      <alignment horizontal="center" vertical="center"/>
    </xf>
    <xf numFmtId="49" fontId="26" fillId="0" borderId="11" xfId="0" applyFont="1" applyBorder="1" applyNumberFormat="1">
      <alignment vertical="top" wrapText="1"/>
    </xf>
    <xf numFmtId="0" fontId="0" fillId="0" borderId="11" xfId="0" applyFont="1" applyBorder="1" applyNumberFormat="1">
      <alignment vertical="top" wrapText="1"/>
    </xf>
    <xf numFmtId="0" fontId="27" fillId="0" borderId="0" xfId="0" applyFont="1" applyNumberFormat="1"/>
    <xf numFmtId="0" fontId="19" fillId="34" borderId="0" xfId="0" applyFont="1" applyFill="1" applyNumberFormat="1">
      <alignment horizontal="center" vertical="center" wrapText="1"/>
    </xf>
    <xf numFmtId="0" fontId="28" fillId="34" borderId="0" xfId="0" applyFont="1" applyFill="1" applyNumberFormat="1">
      <alignment vertical="center" wrapText="1"/>
    </xf>
    <xf numFmtId="0" fontId="28" fillId="0" borderId="0" xfId="0" applyFont="1" applyNumberFormat="1">
      <alignment vertical="center" wrapText="1"/>
    </xf>
    <xf numFmtId="0" fontId="20" fillId="0" borderId="0" xfId="0" applyFont="1" applyNumberFormat="1">
      <alignment horizontal="left" vertical="center" wrapText="1"/>
    </xf>
    <xf numFmtId="49" fontId="20" fillId="0" borderId="0" xfId="0" applyFont="1" applyNumberFormat="1">
      <alignment horizontal="left" vertical="center" wrapText="1"/>
    </xf>
    <xf numFmtId="0" fontId="0" fillId="0" borderId="0" xfId="0" applyFont="1" applyNumberFormat="1">
      <alignment vertical="top"/>
    </xf>
    <xf numFmtId="49" fontId="19" fillId="0" borderId="0" xfId="0" applyFont="1" applyNumberFormat="1">
      <alignment vertical="center" wrapText="1"/>
    </xf>
    <xf numFmtId="49" fontId="19" fillId="0" borderId="0" xfId="0" applyFont="1" applyNumberFormat="1">
      <alignment vertical="top"/>
    </xf>
    <xf numFmtId="0" fontId="19" fillId="0" borderId="0" xfId="0" applyFont="1" applyNumberFormat="1">
      <alignment vertical="center" wrapText="1"/>
    </xf>
    <xf numFmtId="0" fontId="0" fillId="0" borderId="0" xfId="0" applyFont="1" applyNumberFormat="1">
      <alignment vertical="center"/>
    </xf>
    <xf numFmtId="0" fontId="19" fillId="34" borderId="12" xfId="0" applyFont="1" applyFill="1" applyBorder="1" applyNumberFormat="1">
      <alignment horizontal="center" vertical="center" wrapText="1"/>
    </xf>
    <xf numFmtId="49" fontId="19" fillId="35" borderId="12" xfId="0" applyFont="1" applyFill="1" applyBorder="1" applyNumberFormat="1">
      <alignment horizontal="left" vertical="center" wrapText="1"/>
      <protection locked="0"/>
    </xf>
    <xf numFmtId="49" fontId="29" fillId="36" borderId="13" xfId="0" applyFont="1" applyFill="1" applyBorder="1" applyNumberFormat="1">
      <alignment horizontal="left" vertical="center"/>
    </xf>
    <xf numFmtId="0" fontId="0" fillId="0" borderId="12" xfId="0" applyFont="1" applyBorder="1" applyNumberFormat="1">
      <alignment horizontal="center" vertical="center" wrapText="1"/>
    </xf>
    <xf numFmtId="0" fontId="19" fillId="36" borderId="14" xfId="0" applyFont="1" applyFill="1" applyBorder="1" applyNumberFormat="1">
      <alignment vertical="center" wrapText="1"/>
    </xf>
    <xf numFmtId="0" fontId="19" fillId="0" borderId="12" xfId="0" applyFont="1" applyBorder="1" applyNumberFormat="1">
      <alignment horizontal="center" vertical="center" wrapText="1"/>
    </xf>
    <xf numFmtId="0" fontId="30" fillId="0" borderId="0" xfId="0" applyFont="1" applyNumberFormat="1">
      <alignment vertical="center"/>
    </xf>
    <xf numFmtId="49" fontId="19" fillId="0" borderId="12" xfId="0" applyFont="1" applyBorder="1" applyNumberFormat="1">
      <alignment horizontal="center" vertical="center" wrapText="1"/>
    </xf>
    <xf numFmtId="0" fontId="19" fillId="34" borderId="12" xfId="0" applyFont="1" applyFill="1" applyBorder="1" applyNumberFormat="1">
      <alignment horizontal="center" vertical="center"/>
    </xf>
    <xf numFmtId="49" fontId="19" fillId="35" borderId="12" xfId="0" applyFont="1" applyFill="1" applyBorder="1" applyNumberFormat="1">
      <alignment horizontal="left" vertical="center" wrapText="1"/>
      <protection locked="0"/>
    </xf>
    <xf numFmtId="0" fontId="20" fillId="0" borderId="0" xfId="0" applyFont="1" applyNumberFormat="1">
      <alignment vertical="center" wrapText="1"/>
    </xf>
    <xf numFmtId="0" fontId="31" fillId="0" borderId="0" xfId="0" applyFont="1" applyNumberFormat="1">
      <alignment vertical="center" wrapText="1"/>
    </xf>
    <xf numFmtId="49" fontId="19" fillId="0" borderId="0" xfId="0" applyFont="1" applyNumberFormat="1">
      <alignment vertical="top"/>
    </xf>
    <xf numFmtId="49" fontId="20"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xf>
    <xf numFmtId="49" fontId="19" fillId="0" borderId="0" xfId="0" applyFont="1" applyNumberFormat="1">
      <alignment vertical="top"/>
    </xf>
    <xf numFmtId="0" fontId="19" fillId="34" borderId="0" xfId="0" applyFont="1" applyFill="1" applyNumberFormat="1"/>
    <xf numFmtId="0" fontId="32" fillId="34" borderId="0" xfId="0" applyFont="1" applyFill="1" applyNumberFormat="1">
      <alignment horizontal="center" vertical="center" wrapText="1"/>
    </xf>
    <xf numFmtId="0" fontId="20" fillId="34" borderId="0" xfId="0" applyFont="1" applyFill="1" applyNumberFormat="1"/>
    <xf numFmtId="49" fontId="19" fillId="0" borderId="0" xfId="0" applyFont="1" applyNumberFormat="1">
      <alignment vertical="top"/>
    </xf>
    <xf numFmtId="49" fontId="25" fillId="0" borderId="0" xfId="0" applyFont="1" applyNumberFormat="1">
      <alignment horizontal="center" vertical="center" wrapText="1"/>
    </xf>
    <xf numFmtId="0" fontId="19"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33" fillId="36" borderId="15" xfId="0" applyFont="1" applyFill="1" applyBorder="1" applyNumberFormat="1">
      <alignment horizontal="center" vertical="top"/>
    </xf>
    <xf numFmtId="49" fontId="29" fillId="36" borderId="15" xfId="0" applyFont="1" applyFill="1" applyBorder="1" applyNumberFormat="1">
      <alignment horizontal="left" vertical="center"/>
    </xf>
    <xf numFmtId="49" fontId="19" fillId="0" borderId="0" xfId="0" applyFont="1" applyNumberFormat="1">
      <alignment horizontal="center" vertical="top"/>
    </xf>
    <xf numFmtId="0" fontId="30" fillId="0" borderId="0" xfId="0" applyFont="1" applyNumberFormat="1">
      <alignment vertical="center"/>
    </xf>
    <xf numFmtId="0" fontId="0" fillId="0" borderId="0" xfId="0" applyFont="1" applyNumberFormat="1">
      <alignment horizontal="center" vertical="center" wrapText="1"/>
    </xf>
    <xf numFmtId="49" fontId="19" fillId="0" borderId="0" xfId="0" applyFont="1" applyNumberFormat="1">
      <alignment horizontal="center" vertical="center" wrapText="1"/>
    </xf>
    <xf numFmtId="49" fontId="19" fillId="0" borderId="0" xfId="0" applyFont="1" applyNumberFormat="1">
      <alignment vertical="center" wrapText="1"/>
    </xf>
    <xf numFmtId="0" fontId="25" fillId="34" borderId="0" xfId="0" applyFont="1" applyFill="1" applyNumberFormat="1">
      <alignment horizontal="center" vertical="center" wrapText="1"/>
    </xf>
    <xf numFmtId="49" fontId="34" fillId="0" borderId="0" xfId="0" applyFont="1" applyNumberFormat="1">
      <alignment horizontal="right" vertical="top"/>
    </xf>
    <xf numFmtId="49" fontId="34" fillId="0" borderId="0" xfId="0" applyFont="1" applyNumberFormat="1">
      <alignment vertical="top"/>
    </xf>
    <xf numFmtId="0" fontId="19" fillId="0" borderId="0" xfId="0" applyFont="1" applyNumberFormat="1">
      <alignment horizontal="center" vertical="center" wrapText="1"/>
    </xf>
    <xf numFmtId="49" fontId="19" fillId="0" borderId="0" xfId="0" applyFont="1" applyNumberFormat="1">
      <alignment vertical="top"/>
    </xf>
    <xf numFmtId="0" fontId="0" fillId="0" borderId="0" xfId="0" applyFont="1" applyNumberFormat="1">
      <alignment vertical="center"/>
    </xf>
    <xf numFmtId="0" fontId="35" fillId="0" borderId="0" xfId="0" applyFont="1" applyNumberFormat="1">
      <alignment vertical="center" wrapText="1"/>
    </xf>
    <xf numFmtId="49" fontId="19" fillId="0" borderId="16" xfId="0" applyFont="1" applyBorder="1" applyNumberFormat="1">
      <alignment vertical="top"/>
    </xf>
    <xf numFmtId="0" fontId="27" fillId="0" borderId="0" xfId="0" applyFont="1" applyNumberFormat="1"/>
    <xf numFmtId="49" fontId="36" fillId="0" borderId="0" xfId="0" applyFont="1" applyNumberFormat="1">
      <alignment vertical="top"/>
    </xf>
    <xf numFmtId="0" fontId="36" fillId="0" borderId="0" xfId="0" applyFont="1" applyNumberFormat="1">
      <alignment vertical="center" wrapText="1"/>
    </xf>
    <xf numFmtId="49" fontId="0" fillId="34" borderId="12" xfId="0" applyFont="1" applyFill="1" applyBorder="1" applyNumberFormat="1">
      <alignment horizontal="center" vertical="center" wrapText="1"/>
    </xf>
    <xf numFmtId="0" fontId="20" fillId="0" borderId="0" xfId="0" applyFont="1" applyNumberFormat="1">
      <alignment horizontal="left" vertical="center" wrapText="1"/>
    </xf>
    <xf numFmtId="49" fontId="19" fillId="0" borderId="12" xfId="0" applyFont="1" applyBorder="1" applyNumberFormat="1">
      <alignment horizontal="left" vertical="center" wrapText="1"/>
    </xf>
    <xf numFmtId="0" fontId="19" fillId="34" borderId="17" xfId="0" applyFont="1" applyFill="1" applyBorder="1" applyNumberFormat="1">
      <alignment horizontal="center" vertical="center"/>
    </xf>
    <xf numFmtId="0" fontId="19" fillId="0" borderId="12" xfId="0" applyFont="1" applyBorder="1" applyNumberFormat="1">
      <alignment vertical="center" wrapText="1"/>
    </xf>
    <xf numFmtId="0" fontId="37" fillId="0" borderId="0" xfId="0" applyFont="1" applyNumberFormat="1">
      <alignment vertical="center" wrapText="1"/>
    </xf>
    <xf numFmtId="0" fontId="37" fillId="0" borderId="0" xfId="0" applyFont="1" applyNumberFormat="1">
      <alignment vertical="center"/>
    </xf>
    <xf numFmtId="0" fontId="38" fillId="0" borderId="0" xfId="0" applyFont="1" applyNumberFormat="1">
      <alignment vertical="center"/>
    </xf>
    <xf numFmtId="0" fontId="37" fillId="0" borderId="0" xfId="0" applyFont="1" applyNumberFormat="1">
      <alignment vertical="center"/>
    </xf>
    <xf numFmtId="0" fontId="37" fillId="0" borderId="0" xfId="0" applyFont="1" applyNumberFormat="1">
      <alignment vertical="center"/>
    </xf>
    <xf numFmtId="0" fontId="0" fillId="0" borderId="0" xfId="0" applyFont="1" applyNumberFormat="1">
      <alignment vertical="top" wrapText="1"/>
    </xf>
    <xf numFmtId="49" fontId="19" fillId="0" borderId="12" xfId="0" applyFont="1" applyBorder="1" applyNumberFormat="1">
      <alignment horizontal="center" vertical="center" wrapText="1"/>
    </xf>
    <xf numFmtId="0" fontId="35" fillId="0" borderId="18" xfId="0" applyFont="1" applyBorder="1" applyNumberFormat="1">
      <alignment vertical="top" wrapText="1"/>
    </xf>
    <xf numFmtId="49" fontId="0" fillId="0" borderId="12" xfId="0" applyFont="1" applyBorder="1" applyNumberFormat="1">
      <alignment vertical="top" wrapText="1"/>
    </xf>
    <xf numFmtId="0" fontId="0" fillId="0" borderId="12" xfId="0" applyFont="1" applyBorder="1" applyNumberFormat="1">
      <alignment vertical="top" wrapText="1"/>
    </xf>
    <xf numFmtId="0" fontId="1" fillId="0" borderId="0" xfId="0" applyFont="1" applyNumberFormat="1"/>
    <xf numFmtId="0" fontId="0" fillId="0" borderId="0" xfId="0" applyFont="1" applyNumberFormat="1"/>
    <xf numFmtId="0" fontId="25" fillId="0" borderId="0" xfId="0" applyFont="1" applyNumberFormat="1">
      <alignment horizontal="center" vertical="center" wrapText="1"/>
    </xf>
    <xf numFmtId="0" fontId="25" fillId="0" borderId="0" xfId="0" applyFont="1" applyNumberFormat="1">
      <alignment horizontal="center" vertical="center" wrapText="1"/>
    </xf>
    <xf numFmtId="0" fontId="19" fillId="0" borderId="0" xfId="0" applyFont="1" applyNumberFormat="1">
      <alignment horizontal="right" vertical="center" wrapText="1"/>
    </xf>
    <xf numFmtId="4" fontId="19" fillId="0" borderId="0" xfId="0" applyFont="1" applyNumberFormat="1">
      <alignment horizontal="right" vertical="center" wrapText="1"/>
    </xf>
    <xf numFmtId="0" fontId="19" fillId="0" borderId="0" xfId="0" applyFont="1" applyNumberFormat="1">
      <alignment horizontal="left" vertical="center" wrapText="1" indent="1"/>
    </xf>
    <xf numFmtId="49" fontId="19" fillId="0" borderId="0" xfId="0" applyFont="1" applyNumberFormat="1">
      <alignment vertical="top"/>
    </xf>
    <xf numFmtId="4" fontId="19" fillId="0" borderId="0" xfId="0" applyFont="1" applyNumberFormat="1">
      <alignment horizontal="center" vertical="center" wrapText="1"/>
    </xf>
    <xf numFmtId="0" fontId="36" fillId="0" borderId="0" xfId="0" applyFont="1" applyNumberFormat="1">
      <alignment vertical="center"/>
    </xf>
    <xf numFmtId="171" fontId="19" fillId="0" borderId="12" xfId="0" applyFont="1" applyBorder="1" applyNumberFormat="1">
      <alignment horizontal="center" vertical="center" wrapText="1"/>
    </xf>
    <xf numFmtId="49" fontId="36" fillId="36" borderId="19" xfId="0" applyFont="1" applyFill="1" applyBorder="1" applyNumberFormat="1">
      <alignment horizontal="left" vertical="center" wrapText="1"/>
    </xf>
    <xf numFmtId="49" fontId="0" fillId="36" borderId="15" xfId="0" applyFont="1" applyFill="1" applyBorder="1" applyNumberFormat="1">
      <alignment horizontal="left" vertical="center"/>
    </xf>
    <xf numFmtId="49" fontId="36" fillId="36" borderId="20" xfId="0" applyFont="1" applyFill="1" applyBorder="1" applyNumberFormat="1">
      <alignment horizontal="left" vertical="center" wrapText="1"/>
    </xf>
    <xf numFmtId="0" fontId="24" fillId="0" borderId="0" xfId="0" applyFont="1" applyNumberFormat="1">
      <alignment horizontal="center" vertical="center" wrapText="1"/>
    </xf>
    <xf numFmtId="49" fontId="39" fillId="36" borderId="15" xfId="0" applyFont="1" applyFill="1" applyBorder="1" applyNumberFormat="1">
      <alignment horizontal="right" vertical="center" wrapText="1"/>
    </xf>
    <xf numFmtId="49" fontId="19" fillId="36" borderId="15" xfId="0" applyFont="1" applyFill="1" applyBorder="1" applyNumberFormat="1">
      <alignment horizontal="right" vertical="center" wrapText="1"/>
    </xf>
    <xf numFmtId="49" fontId="19" fillId="36" borderId="13" xfId="0" applyFont="1" applyFill="1" applyBorder="1" applyNumberFormat="1">
      <alignment horizontal="right" vertical="center" wrapText="1"/>
    </xf>
    <xf numFmtId="0" fontId="19" fillId="0" borderId="21" xfId="0" applyFont="1" applyBorder="1" applyNumberFormat="1">
      <alignment vertical="center" wrapText="1"/>
    </xf>
    <xf numFmtId="0" fontId="34" fillId="0" borderId="0" xfId="0" applyFont="1" applyNumberFormat="1">
      <alignment vertical="center" wrapText="1"/>
    </xf>
    <xf numFmtId="0" fontId="40" fillId="0" borderId="0" xfId="0" applyFont="1" applyNumberFormat="1">
      <alignment horizontal="center" vertical="center" wrapText="1"/>
    </xf>
    <xf numFmtId="49" fontId="0" fillId="34" borderId="0" xfId="0" applyFont="1" applyFill="1" applyNumberFormat="1">
      <alignment vertical="top"/>
    </xf>
    <xf numFmtId="49" fontId="41" fillId="37" borderId="0" xfId="0" applyFont="1" applyFill="1" applyNumberFormat="1">
      <alignment vertical="top"/>
    </xf>
    <xf numFmtId="49" fontId="41" fillId="0" borderId="0" xfId="0" applyFont="1" applyNumberFormat="1">
      <alignment vertical="top"/>
    </xf>
    <xf numFmtId="0" fontId="36" fillId="0" borderId="0" xfId="0" applyFont="1" applyNumberFormat="1">
      <alignment vertical="center"/>
    </xf>
    <xf numFmtId="49" fontId="0" fillId="36" borderId="15" xfId="0" applyFont="1" applyFill="1" applyBorder="1" applyNumberFormat="1">
      <alignment horizontal="right" vertical="center" wrapText="1"/>
    </xf>
    <xf numFmtId="49" fontId="0" fillId="0" borderId="0" xfId="0" applyFont="1" applyNumberFormat="1">
      <alignment vertical="top"/>
    </xf>
    <xf numFmtId="0" fontId="39" fillId="0" borderId="11" xfId="0" applyFont="1" applyBorder="1" applyNumberFormat="1">
      <alignment vertical="center" wrapText="1"/>
    </xf>
    <xf numFmtId="0" fontId="35" fillId="0" borderId="0" xfId="0" applyFont="1" applyNumberFormat="1">
      <alignment vertical="top" wrapText="1"/>
    </xf>
    <xf numFmtId="0" fontId="19" fillId="0" borderId="11" xfId="0" applyFont="1" applyBorder="1" applyNumberFormat="1">
      <alignment vertical="center" wrapText="1"/>
    </xf>
    <xf numFmtId="49" fontId="19" fillId="0" borderId="0" xfId="0" applyFont="1" applyNumberFormat="1">
      <alignment vertical="top"/>
    </xf>
    <xf numFmtId="0" fontId="19" fillId="34" borderId="0" xfId="0" applyFont="1" applyFill="1" applyNumberFormat="1">
      <alignment horizontal="right" vertical="center"/>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indent="2"/>
      <protection locked="0"/>
    </xf>
    <xf numFmtId="49" fontId="37" fillId="0" borderId="0" xfId="0" applyFont="1" applyNumberFormat="1">
      <alignment vertical="top"/>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0" fillId="38" borderId="12" xfId="0" applyFont="1" applyFill="1" applyBorder="1" applyNumberFormat="1">
      <alignment horizontal="left" vertical="center" wrapText="1" indent="1"/>
      <protection locked="0"/>
    </xf>
    <xf numFmtId="49" fontId="29" fillId="36" borderId="15" xfId="0" applyFont="1" applyFill="1" applyBorder="1" applyNumberFormat="1">
      <alignment horizontal="left" vertical="center" indent="3"/>
    </xf>
    <xf numFmtId="49" fontId="33" fillId="36" borderId="13" xfId="0" applyFont="1" applyFill="1" applyBorder="1" applyNumberFormat="1">
      <alignment horizontal="center" vertical="top"/>
    </xf>
    <xf numFmtId="0" fontId="35" fillId="0" borderId="0" xfId="0" applyFont="1" applyNumberFormat="1">
      <alignment horizontal="right" vertical="top" wrapText="1"/>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indent="2"/>
    </xf>
    <xf numFmtId="0" fontId="0" fillId="0" borderId="12" xfId="0" applyFont="1" applyBorder="1" applyNumberFormat="1">
      <alignment horizontal="left" vertical="center" wrapText="1" indent="1"/>
    </xf>
    <xf numFmtId="0" fontId="0" fillId="0" borderId="12" xfId="0" applyFont="1" applyBorder="1" applyNumberFormat="1">
      <alignment horizontal="left" vertical="center" wrapText="1" indent="2"/>
    </xf>
    <xf numFmtId="49" fontId="19" fillId="39" borderId="12" xfId="0" applyFont="1" applyFill="1" applyBorder="1" applyNumberFormat="1">
      <alignment horizontal="left" vertical="center" wrapText="1"/>
    </xf>
    <xf numFmtId="0" fontId="19" fillId="0" borderId="12" xfId="0" applyFont="1" applyBorder="1" applyNumberFormat="1">
      <alignment vertical="top" wrapText="1"/>
    </xf>
    <xf numFmtId="0" fontId="25" fillId="0" borderId="0" xfId="0" applyFont="1" applyNumberFormat="1">
      <alignment horizontal="center" vertical="center" wrapText="1"/>
    </xf>
    <xf numFmtId="49" fontId="0" fillId="0" borderId="17" xfId="0" applyFont="1" applyBorder="1" applyNumberFormat="1">
      <alignment vertical="top"/>
    </xf>
    <xf numFmtId="0" fontId="37" fillId="0" borderId="0" xfId="0" applyFont="1" applyNumberFormat="1">
      <alignment vertical="center"/>
    </xf>
    <xf numFmtId="0" fontId="42" fillId="0" borderId="0" xfId="0" applyFont="1" applyNumberFormat="1">
      <alignment vertical="center"/>
    </xf>
    <xf numFmtId="49" fontId="43" fillId="38" borderId="12" xfId="0" applyFont="1" applyFill="1" applyBorder="1" applyNumberFormat="1">
      <alignment horizontal="left" vertical="center" wrapText="1"/>
      <protection locked="0"/>
    </xf>
    <xf numFmtId="49" fontId="33" fillId="36" borderId="13" xfId="0" applyFont="1" applyFill="1" applyBorder="1" applyNumberFormat="1">
      <alignment horizontal="center" vertical="top"/>
    </xf>
    <xf numFmtId="0" fontId="0" fillId="33" borderId="12" xfId="0" applyFont="1" applyFill="1" applyBorder="1" applyNumberFormat="1">
      <alignment horizontal="left" vertical="center" wrapText="1" indent="1"/>
    </xf>
    <xf numFmtId="49" fontId="19" fillId="38"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xf>
    <xf numFmtId="49" fontId="19" fillId="0" borderId="12" xfId="0" applyFont="1" applyBorder="1" applyNumberFormat="1">
      <alignment horizontal="left" vertical="center" wrapText="1" indent="1"/>
    </xf>
    <xf numFmtId="0" fontId="19" fillId="0" borderId="12" xfId="0" applyFont="1" applyBorder="1" applyNumberFormat="1">
      <alignment horizontal="center" vertical="center" wrapText="1"/>
    </xf>
    <xf numFmtId="0" fontId="35" fillId="0" borderId="0" xfId="0" applyFont="1" applyNumberFormat="1">
      <alignment vertical="center" wrapText="1"/>
    </xf>
    <xf numFmtId="0" fontId="37" fillId="0" borderId="0" xfId="0" applyFont="1" applyNumberFormat="1">
      <alignment horizontal="center" vertical="center" wrapText="1"/>
    </xf>
    <xf numFmtId="0" fontId="0" fillId="0" borderId="12" xfId="0" applyFont="1" applyBorder="1" applyNumberFormat="1">
      <alignment horizontal="left" vertical="center" wrapText="1"/>
    </xf>
    <xf numFmtId="49" fontId="24" fillId="0" borderId="15" xfId="0" applyFont="1" applyBorder="1" applyNumberFormat="1">
      <alignment horizontal="center" vertical="center" wrapText="1"/>
    </xf>
    <xf numFmtId="0" fontId="44" fillId="0" borderId="0" xfId="0" applyFont="1" applyNumberFormat="1">
      <alignment vertical="center"/>
    </xf>
    <xf numFmtId="0" fontId="45" fillId="0" borderId="0" xfId="0" applyFont="1" applyNumberFormat="1">
      <alignment vertical="center"/>
    </xf>
    <xf numFmtId="0" fontId="37" fillId="0" borderId="0" xfId="0" applyFont="1" applyNumberFormat="1">
      <alignment vertical="center"/>
    </xf>
    <xf numFmtId="0" fontId="37" fillId="0" borderId="0" xfId="0" applyFont="1" applyNumberFormat="1">
      <alignment horizontal="left" vertical="center" wrapText="1" indent="1"/>
    </xf>
    <xf numFmtId="0" fontId="36" fillId="0" borderId="0" xfId="0" applyFont="1" applyNumberFormat="1">
      <alignment horizontal="left" vertical="center" wrapText="1" indent="1"/>
    </xf>
    <xf numFmtId="0" fontId="46" fillId="0" borderId="0" xfId="0" applyFont="1" applyNumberFormat="1">
      <alignment horizontal="left" vertical="center" wrapText="1" indent="1"/>
    </xf>
    <xf numFmtId="0" fontId="47" fillId="0" borderId="0" xfId="0" applyFont="1" applyNumberFormat="1">
      <alignment horizontal="left" vertical="center" indent="1"/>
    </xf>
    <xf numFmtId="0" fontId="46" fillId="0" borderId="0" xfId="0" applyFont="1" applyNumberFormat="1">
      <alignmen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50" fillId="0" borderId="0" xfId="0" applyFont="1" applyNumberFormat="1">
      <alignment vertical="center" wrapText="1"/>
    </xf>
    <xf numFmtId="0" fontId="50" fillId="34" borderId="0" xfId="0" applyFont="1" applyFill="1" applyNumberFormat="1">
      <alignment horizontal="right" vertical="center" wrapText="1" indent="1"/>
    </xf>
    <xf numFmtId="0" fontId="52" fillId="34" borderId="0" xfId="0" applyFont="1" applyFill="1" applyNumberFormat="1">
      <alignment horizontal="center" vertical="center" wrapText="1"/>
    </xf>
    <xf numFmtId="0" fontId="48" fillId="34" borderId="0" xfId="0" applyFont="1" applyFill="1" applyNumberFormat="1">
      <alignment horizontal="center" vertical="center" wrapText="1"/>
    </xf>
    <xf numFmtId="0" fontId="50" fillId="34" borderId="0" xfId="0" applyFont="1" applyFill="1" applyNumberFormat="1">
      <alignment horizontal="left" vertical="center" wrapText="1" indent="1"/>
    </xf>
    <xf numFmtId="0" fontId="53" fillId="0" borderId="0" xfId="0" applyFont="1" applyNumberFormat="1">
      <alignment horizontal="left" vertical="center" wrapText="1"/>
    </xf>
    <xf numFmtId="0" fontId="53" fillId="0" borderId="0" xfId="0" applyFont="1" applyNumberFormat="1">
      <alignment vertical="center" wrapText="1"/>
    </xf>
    <xf numFmtId="0" fontId="50" fillId="0" borderId="0" xfId="0" applyFont="1" applyNumberFormat="1">
      <alignment vertical="center" wrapText="1"/>
    </xf>
    <xf numFmtId="0" fontId="50" fillId="0" borderId="0" xfId="0" applyFont="1" applyNumberFormat="1">
      <alignment horizontal="right" vertical="center"/>
    </xf>
    <xf numFmtId="49" fontId="19" fillId="0" borderId="0" xfId="0" applyFont="1" applyNumberFormat="1">
      <alignment vertical="center" wrapText="1"/>
    </xf>
    <xf numFmtId="0" fontId="0" fillId="0" borderId="0" xfId="0" applyFont="1" applyNumberFormat="1">
      <alignment horizontal="left" vertical="center" indent="1"/>
    </xf>
    <xf numFmtId="0" fontId="37" fillId="0" borderId="0" xfId="0" applyFont="1" applyNumberFormat="1">
      <alignment horizontal="left" vertical="center" indent="1"/>
    </xf>
    <xf numFmtId="0" fontId="37" fillId="0" borderId="0" xfId="0" applyFont="1" applyNumberFormat="1">
      <alignment horizontal="left" vertical="center" indent="1"/>
    </xf>
    <xf numFmtId="0" fontId="37" fillId="0" borderId="22" xfId="0" applyFont="1" applyBorder="1" applyNumberFormat="1">
      <alignment vertical="center"/>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19" fillId="0" borderId="0" xfId="0" applyFont="1" applyNumberFormat="1">
      <alignment vertical="top"/>
    </xf>
    <xf numFmtId="0" fontId="19" fillId="0" borderId="0" xfId="0" applyFont="1" applyNumberFormat="1">
      <alignment horizontal="left" vertical="center" wrapText="1" indent="2"/>
    </xf>
    <xf numFmtId="0" fontId="19" fillId="0" borderId="12" xfId="0" applyFont="1" applyBorder="1" applyNumberFormat="1">
      <alignment vertical="top" wrapText="1"/>
    </xf>
    <xf numFmtId="0" fontId="0" fillId="38" borderId="12" xfId="0" applyFont="1" applyFill="1" applyBorder="1" applyNumberFormat="1">
      <alignment horizontal="left" vertical="center" wrapText="1"/>
      <protection locked="0"/>
    </xf>
    <xf numFmtId="0" fontId="19" fillId="0" borderId="12" xfId="0" applyFont="1" applyBorder="1" applyNumberFormat="1">
      <alignment horizontal="left" vertical="top" wrapText="1"/>
    </xf>
    <xf numFmtId="0" fontId="19" fillId="0" borderId="12" xfId="0" applyFont="1" applyBorder="1" applyNumberFormat="1">
      <alignment horizontal="left" vertical="center" wrapText="1"/>
    </xf>
    <xf numFmtId="0" fontId="19" fillId="0" borderId="12" xfId="0" applyFont="1" applyBorder="1" applyNumberFormat="1">
      <alignment horizontal="center" vertical="center" wrapText="1"/>
    </xf>
    <xf numFmtId="49" fontId="19" fillId="0" borderId="17" xfId="0" applyFont="1" applyBorder="1" applyNumberFormat="1">
      <alignment horizontal="left" vertical="center" wrapText="1"/>
    </xf>
    <xf numFmtId="49" fontId="39" fillId="36" borderId="14" xfId="0" applyFont="1" applyFill="1" applyBorder="1" applyNumberFormat="1">
      <alignment horizontal="center" vertical="center"/>
    </xf>
    <xf numFmtId="49" fontId="29" fillId="36" borderId="13" xfId="0" applyFont="1" applyFill="1" applyBorder="1" applyNumberFormat="1">
      <alignment horizontal="left" vertical="center"/>
    </xf>
    <xf numFmtId="0" fontId="19" fillId="0" borderId="0" xfId="0" applyFont="1" applyNumberFormat="1"/>
    <xf numFmtId="0" fontId="54" fillId="0" borderId="0" xfId="0" applyFont="1" applyNumberFormat="1">
      <alignment vertical="center" wrapText="1"/>
    </xf>
    <xf numFmtId="0" fontId="54" fillId="0" borderId="0" xfId="0" applyFont="1" applyNumberFormat="1">
      <alignment vertical="center" wrapText="1"/>
    </xf>
    <xf numFmtId="0" fontId="54" fillId="0" borderId="0" xfId="0" applyFont="1" applyNumberFormat="1"/>
    <xf numFmtId="49" fontId="55" fillId="0" borderId="0" xfId="0" applyFont="1" applyNumberFormat="1">
      <alignment vertical="top"/>
    </xf>
    <xf numFmtId="49" fontId="56" fillId="0" borderId="0" xfId="0" applyFont="1" applyNumberFormat="1">
      <alignment vertical="top"/>
    </xf>
    <xf numFmtId="0" fontId="19" fillId="0" borderId="0" xfId="0" applyFont="1" applyNumberFormat="1">
      <alignment horizontal="center" vertical="center" wrapText="1"/>
    </xf>
    <xf numFmtId="49" fontId="19" fillId="38" borderId="12" xfId="0" applyFont="1" applyFill="1" applyBorder="1" applyNumberFormat="1">
      <alignment horizontal="left" vertical="center" wrapText="1" indent="1"/>
      <protection locked="0"/>
    </xf>
    <xf numFmtId="0" fontId="37" fillId="0" borderId="0" xfId="0" applyFont="1" applyNumberFormat="1">
      <alignment vertical="top"/>
    </xf>
    <xf numFmtId="49" fontId="37" fillId="0" borderId="0" xfId="0" applyFont="1" applyNumberFormat="1">
      <alignment vertical="top"/>
    </xf>
    <xf numFmtId="0" fontId="0" fillId="0" borderId="0" xfId="0" applyFont="1" applyNumberFormat="1">
      <alignment vertical="top"/>
    </xf>
    <xf numFmtId="49" fontId="19" fillId="0" borderId="12" xfId="0" applyFont="1" applyBorder="1" applyNumberFormat="1">
      <alignment horizontal="right" vertical="center"/>
    </xf>
    <xf numFmtId="0" fontId="57" fillId="0" borderId="0" xfId="0" applyFont="1" applyNumberFormat="1">
      <alignment vertical="center"/>
    </xf>
    <xf numFmtId="0" fontId="37" fillId="0" borderId="0" xfId="0" applyFont="1" applyNumberFormat="1">
      <alignment vertical="center"/>
    </xf>
    <xf numFmtId="0" fontId="35" fillId="0" borderId="0" xfId="0" applyFont="1" applyNumberFormat="1">
      <alignment horizontal="center" vertical="center" wrapText="1"/>
    </xf>
    <xf numFmtId="0" fontId="0" fillId="0" borderId="0" xfId="0" applyFont="1" applyNumberFormat="1">
      <alignment horizontal="center" vertical="center"/>
    </xf>
    <xf numFmtId="0" fontId="37" fillId="0" borderId="0" xfId="0" applyFont="1" applyNumberFormat="1">
      <alignment vertical="center" wrapText="1"/>
    </xf>
    <xf numFmtId="0" fontId="19" fillId="0" borderId="12" xfId="0" applyFont="1" applyBorder="1" applyNumberFormat="1">
      <alignment horizontal="left" vertical="center" wrapText="1"/>
    </xf>
    <xf numFmtId="0" fontId="58" fillId="0" borderId="0" xfId="0" applyFont="1" applyNumberFormat="1">
      <alignment vertical="center"/>
    </xf>
    <xf numFmtId="49" fontId="24" fillId="34" borderId="0" xfId="0" applyFont="1" applyFill="1" applyNumberFormat="1">
      <alignment horizontal="center" vertical="center" wrapText="1"/>
    </xf>
    <xf numFmtId="0" fontId="0" fillId="0" borderId="0" xfId="0" applyFont="1" applyNumberFormat="1">
      <alignment vertical="center"/>
    </xf>
    <xf numFmtId="0"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0" fontId="19" fillId="34" borderId="12" xfId="0" applyFont="1" applyFill="1" applyBorder="1" applyNumberFormat="1">
      <alignment horizontal="left" vertical="center" wrapText="1" indent="4"/>
    </xf>
    <xf numFmtId="0" fontId="19" fillId="34" borderId="12" xfId="0" applyFont="1" applyFill="1" applyBorder="1" applyNumberFormat="1">
      <alignment horizontal="left" vertical="center" wrapText="1" indent="5"/>
    </xf>
    <xf numFmtId="49" fontId="29" fillId="36" borderId="15" xfId="0" applyFont="1" applyFill="1" applyBorder="1" applyNumberFormat="1">
      <alignment horizontal="left" vertical="center" indent="5"/>
    </xf>
    <xf numFmtId="49" fontId="29" fillId="36" borderId="15" xfId="0" applyFont="1" applyFill="1" applyBorder="1" applyNumberFormat="1">
      <alignment horizontal="left" vertical="center" indent="6"/>
    </xf>
    <xf numFmtId="0" fontId="19" fillId="0" borderId="12" xfId="0" applyFont="1" applyBorder="1" applyNumberFormat="1">
      <alignment vertical="center" wrapText="1"/>
    </xf>
    <xf numFmtId="0" fontId="35" fillId="0" borderId="0" xfId="0" applyFont="1" applyNumberFormat="1">
      <alignment vertical="center" wrapText="1"/>
    </xf>
    <xf numFmtId="0" fontId="59" fillId="34" borderId="0" xfId="0" applyFont="1" applyFill="1" applyNumberFormat="1">
      <alignment vertical="center" wrapText="1"/>
    </xf>
    <xf numFmtId="49" fontId="19" fillId="0" borderId="12" xfId="0" applyFont="1" applyBorder="1" applyNumberFormat="1">
      <alignment horizontal="center" vertical="center" wrapText="1"/>
    </xf>
    <xf numFmtId="49" fontId="0" fillId="0" borderId="0" xfId="0" applyFont="1" applyNumberFormat="1">
      <alignment vertical="top"/>
    </xf>
    <xf numFmtId="49" fontId="29" fillId="36" borderId="14" xfId="0" applyFont="1" applyFill="1" applyBorder="1" applyNumberFormat="1">
      <alignment horizontal="left" vertical="center" indent="1"/>
    </xf>
    <xf numFmtId="0" fontId="0" fillId="34" borderId="12" xfId="0" applyFont="1" applyFill="1" applyBorder="1" applyNumberFormat="1">
      <alignment horizontal="right" vertical="center" wrapText="1" indent="1"/>
    </xf>
    <xf numFmtId="49" fontId="0" fillId="0" borderId="12" xfId="0" applyFont="1" applyBorder="1" applyNumberFormat="1">
      <alignment horizontal="left" vertical="center"/>
    </xf>
    <xf numFmtId="0" fontId="19" fillId="0" borderId="12" xfId="0" applyFont="1" applyBorder="1" applyNumberFormat="1">
      <alignment vertical="top" wrapText="1"/>
    </xf>
    <xf numFmtId="0" fontId="19" fillId="0" borderId="12" xfId="0" applyFont="1" applyBorder="1" applyNumberFormat="1">
      <alignment vertical="center" wrapText="1"/>
    </xf>
    <xf numFmtId="0" fontId="57" fillId="0" borderId="0" xfId="0" applyFont="1" applyNumberFormat="1">
      <alignment vertical="center"/>
    </xf>
    <xf numFmtId="0" fontId="19" fillId="0" borderId="12" xfId="0" applyFont="1" applyBorder="1" applyNumberFormat="1">
      <alignment horizontal="left" vertical="center" wrapText="1" indent="6"/>
    </xf>
    <xf numFmtId="0" fontId="19" fillId="0" borderId="17" xfId="0" applyFont="1" applyBorder="1" applyNumberFormat="1">
      <alignment vertical="center" wrapText="1"/>
    </xf>
    <xf numFmtId="0" fontId="19" fillId="0" borderId="23" xfId="0" applyFont="1" applyBorder="1" applyNumberFormat="1">
      <alignment vertical="center" wrapText="1"/>
    </xf>
    <xf numFmtId="49" fontId="0" fillId="36" borderId="13" xfId="0" applyFont="1" applyFill="1" applyBorder="1" applyNumberFormat="1">
      <alignment horizontal="center" vertical="center" wrapText="1"/>
    </xf>
    <xf numFmtId="0" fontId="0" fillId="0" borderId="14" xfId="0" applyFont="1" applyBorder="1" applyNumberFormat="1">
      <alignment vertical="center"/>
    </xf>
    <xf numFmtId="172" fontId="0" fillId="38" borderId="12" xfId="0" applyFont="1" applyFill="1" applyBorder="1" applyNumberFormat="1">
      <alignment horizontal="right" vertical="center"/>
      <protection locked="0"/>
    </xf>
    <xf numFmtId="0" fontId="0" fillId="34" borderId="14" xfId="0" applyFont="1" applyFill="1" applyBorder="1" applyNumberFormat="1">
      <alignment horizontal="right" vertical="center" wrapText="1" indent="1"/>
    </xf>
    <xf numFmtId="49" fontId="20" fillId="0" borderId="0" xfId="0" applyFont="1" applyNumberFormat="1">
      <alignment vertical="top"/>
    </xf>
    <xf numFmtId="0" fontId="28" fillId="34" borderId="0" xfId="0" applyFont="1" applyFill="1" applyNumberFormat="1">
      <alignment vertical="center" wrapText="1"/>
    </xf>
    <xf numFmtId="49" fontId="60" fillId="36" borderId="14" xfId="0" applyFont="1" applyFill="1" applyBorder="1" applyNumberFormat="1">
      <alignment horizontal="center" vertical="center"/>
    </xf>
    <xf numFmtId="0" fontId="19" fillId="34" borderId="12" xfId="0" applyFont="1" applyFill="1" applyBorder="1" applyNumberFormat="1">
      <alignment horizontal="left" vertical="center" wrapText="1" indent="1"/>
    </xf>
    <xf numFmtId="0" fontId="19" fillId="34" borderId="12" xfId="0" applyFont="1" applyFill="1" applyBorder="1" applyNumberFormat="1">
      <alignment horizontal="left" vertical="center" wrapText="1" indent="2"/>
    </xf>
    <xf numFmtId="0" fontId="19" fillId="34" borderId="12" xfId="0" applyFont="1" applyFill="1" applyBorder="1" applyNumberFormat="1">
      <alignment horizontal="left" vertical="center" wrapText="1" indent="3"/>
    </xf>
    <xf numFmtId="0" fontId="19" fillId="0" borderId="12" xfId="0" applyFont="1" applyBorder="1" applyNumberFormat="1">
      <alignment horizontal="left" vertical="center" wrapText="1" indent="4"/>
    </xf>
    <xf numFmtId="49" fontId="29" fillId="36" borderId="14" xfId="0" applyFont="1" applyFill="1" applyBorder="1" applyNumberFormat="1">
      <alignment vertical="center" wrapText="1"/>
    </xf>
    <xf numFmtId="49" fontId="29" fillId="36" borderId="15" xfId="0" applyFont="1" applyFill="1" applyBorder="1" applyNumberFormat="1">
      <alignment vertical="center"/>
    </xf>
    <xf numFmtId="49" fontId="29" fillId="36" borderId="15" xfId="0" applyFont="1" applyFill="1" applyBorder="1" applyNumberFormat="1">
      <alignment vertical="center" wrapText="1"/>
    </xf>
    <xf numFmtId="0" fontId="19" fillId="0" borderId="12" xfId="0" applyFont="1" applyBorder="1" applyNumberFormat="1">
      <alignment vertical="center" wrapText="1"/>
    </xf>
    <xf numFmtId="49" fontId="19" fillId="0" borderId="12" xfId="0" applyFont="1" applyBorder="1" applyNumberFormat="1">
      <alignment vertical="center" wrapText="1"/>
    </xf>
    <xf numFmtId="0" fontId="19" fillId="0" borderId="0" xfId="0" applyFont="1" applyNumberFormat="1">
      <alignment vertical="top" wrapText="1"/>
    </xf>
    <xf numFmtId="49" fontId="29" fillId="36" borderId="14" xfId="0" applyFont="1" applyFill="1" applyBorder="1" applyNumberFormat="1">
      <alignment horizontal="left" vertical="center"/>
    </xf>
    <xf numFmtId="49" fontId="0" fillId="0" borderId="12" xfId="0" applyFont="1" applyBorder="1" applyNumberFormat="1">
      <alignment vertical="center" wrapText="1"/>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0" xfId="0" applyFont="1" applyNumberFormat="1">
      <alignment horizontal="right" vertical="center" wrapText="1" indent="1"/>
    </xf>
    <xf numFmtId="0" fontId="39" fillId="34" borderId="0" xfId="0" applyFont="1" applyFill="1" applyNumberFormat="1">
      <alignment horizontal="center" vertical="center" wrapText="1"/>
    </xf>
    <xf numFmtId="49" fontId="60" fillId="36" borderId="15" xfId="0" applyFont="1" applyFill="1" applyBorder="1" applyNumberFormat="1">
      <alignment horizontal="left" vertical="center"/>
    </xf>
    <xf numFmtId="0" fontId="19" fillId="0" borderId="0" xfId="0" applyFont="1" applyNumberFormat="1">
      <alignment vertical="center" wrapText="1"/>
    </xf>
    <xf numFmtId="49" fontId="19" fillId="36" borderId="13" xfId="0" applyFont="1" applyFill="1" applyBorder="1" applyNumberFormat="1">
      <alignment horizontal="center" vertical="center" wrapText="1"/>
    </xf>
    <xf numFmtId="4" fontId="19" fillId="0" borderId="12" xfId="0" applyFont="1" applyBorder="1" applyNumberFormat="1">
      <alignment horizontal="right" vertical="center" wrapText="1"/>
    </xf>
    <xf numFmtId="49" fontId="0" fillId="36" borderId="15" xfId="0" applyFont="1" applyFill="1" applyBorder="1" applyNumberFormat="1">
      <alignment horizontal="center" vertical="center" wrapText="1"/>
    </xf>
    <xf numFmtId="0" fontId="19" fillId="0" borderId="0" xfId="0" applyFont="1" applyNumberFormat="1">
      <alignment vertical="center" wrapText="1"/>
    </xf>
    <xf numFmtId="0" fontId="19" fillId="0" borderId="0" xfId="0" applyFont="1" applyNumberFormat="1">
      <alignment vertical="center" wrapText="1"/>
    </xf>
    <xf numFmtId="4" fontId="37" fillId="0" borderId="12" xfId="0" applyFont="1" applyBorder="1" applyNumberFormat="1">
      <alignment horizontal="center" vertical="center" wrapText="1"/>
    </xf>
    <xf numFmtId="0" fontId="0" fillId="0" borderId="0" xfId="0" applyFont="1" applyNumberFormat="1">
      <alignment vertical="center"/>
    </xf>
    <xf numFmtId="0" fontId="0" fillId="0" borderId="12" xfId="0" applyFont="1" applyBorder="1" applyNumberFormat="1">
      <alignment horizontal="left" vertical="center" wrapText="1" indent="1"/>
    </xf>
    <xf numFmtId="49" fontId="61" fillId="0" borderId="14" xfId="0" applyFont="1" applyBorder="1" applyNumberFormat="1">
      <alignment horizontal="left" vertical="center" wrapText="1"/>
    </xf>
    <xf numFmtId="0" fontId="57" fillId="0" borderId="12" xfId="0" applyFont="1" applyBorder="1" applyNumberFormat="1">
      <alignment horizontal="left" vertical="center" wrapText="1" indent="2"/>
    </xf>
    <xf numFmtId="49" fontId="57" fillId="0" borderId="12" xfId="0" applyFont="1" applyBorder="1" applyNumberFormat="1">
      <alignment horizontal="center" vertical="center" wrapText="1"/>
    </xf>
    <xf numFmtId="0" fontId="62" fillId="0" borderId="0" xfId="0" applyFont="1" applyNumberFormat="1">
      <alignment vertical="center" wrapText="1"/>
    </xf>
    <xf numFmtId="0" fontId="19" fillId="0" borderId="0" xfId="0" applyFont="1" applyNumberFormat="1">
      <alignment vertical="top"/>
    </xf>
    <xf numFmtId="0" fontId="19" fillId="0" borderId="0" xfId="0" applyFont="1" applyNumberFormat="1">
      <alignment horizontal="right" vertical="top" wrapText="1"/>
    </xf>
    <xf numFmtId="0" fontId="19" fillId="0" borderId="17" xfId="0" applyFont="1" applyBorder="1" applyNumberFormat="1">
      <alignment vertical="center" wrapText="1"/>
    </xf>
    <xf numFmtId="49" fontId="33" fillId="36" borderId="15" xfId="0" applyFont="1" applyFill="1" applyBorder="1" applyNumberFormat="1">
      <alignment horizontal="center" vertical="top"/>
    </xf>
    <xf numFmtId="0" fontId="19" fillId="0" borderId="23" xfId="0" applyFont="1" applyBorder="1" applyNumberFormat="1">
      <alignment vertical="top" wrapText="1"/>
    </xf>
    <xf numFmtId="0" fontId="0" fillId="0" borderId="0" xfId="0" applyFont="1" applyNumberFormat="1">
      <alignment horizontal="left" vertical="top" wrapText="1"/>
    </xf>
    <xf numFmtId="0" fontId="19" fillId="0" borderId="17" xfId="0" applyFont="1" applyBorder="1" applyNumberFormat="1">
      <alignment vertical="top" wrapText="1"/>
    </xf>
    <xf numFmtId="0" fontId="19" fillId="0" borderId="0" xfId="0" applyFont="1" applyNumberFormat="1">
      <alignment vertical="center" wrapText="1"/>
    </xf>
    <xf numFmtId="49" fontId="19" fillId="0" borderId="0" xfId="0" applyFont="1" applyNumberFormat="1">
      <alignment vertical="top"/>
    </xf>
    <xf numFmtId="0" fontId="28" fillId="0" borderId="0" xfId="0" applyFont="1" applyNumberFormat="1">
      <alignment vertical="center" wrapText="1"/>
    </xf>
    <xf numFmtId="0" fontId="19" fillId="0" borderId="12" xfId="0" applyFont="1" applyBorder="1" applyNumberFormat="1">
      <alignment vertical="center" wrapText="1"/>
    </xf>
    <xf numFmtId="49" fontId="19" fillId="0" borderId="0" xfId="0" applyFont="1" applyNumberFormat="1">
      <alignment horizontal="center" vertical="center" wrapText="1"/>
    </xf>
    <xf numFmtId="0" fontId="19" fillId="36" borderId="14" xfId="0" applyFont="1" applyFill="1" applyBorder="1" applyNumberFormat="1">
      <alignment vertical="center" wrapText="1"/>
    </xf>
    <xf numFmtId="0" fontId="19" fillId="38" borderId="12" xfId="0" applyFont="1" applyFill="1" applyBorder="1" applyNumberFormat="1">
      <alignment horizontal="left" vertical="center" wrapText="1" indent="1"/>
      <protection locked="0"/>
    </xf>
    <xf numFmtId="49" fontId="29" fillId="36" borderId="15" xfId="0" applyFont="1" applyFill="1" applyBorder="1" applyNumberFormat="1">
      <alignment horizontal="left" vertical="center" indent="2"/>
    </xf>
    <xf numFmtId="0" fontId="37" fillId="0" borderId="0" xfId="0" applyFont="1" applyNumberFormat="1">
      <alignment vertical="center"/>
    </xf>
    <xf numFmtId="0" fontId="63" fillId="0" borderId="0" xfId="0" applyFont="1" applyNumberFormat="1">
      <alignment vertical="center" wrapText="1"/>
    </xf>
    <xf numFmtId="0" fontId="31" fillId="34" borderId="0" xfId="0" applyFont="1" applyFill="1" applyNumberFormat="1">
      <alignment horizontal="center" vertical="center" wrapText="1"/>
    </xf>
    <xf numFmtId="0" fontId="19" fillId="0" borderId="24" xfId="0" applyFont="1" applyBorder="1" applyNumberFormat="1">
      <alignment vertical="center" wrapText="1"/>
    </xf>
    <xf numFmtId="0" fontId="25" fillId="0" borderId="0" xfId="0" applyFont="1" applyNumberFormat="1">
      <alignment vertical="center" wrapText="1"/>
    </xf>
    <xf numFmtId="49" fontId="19" fillId="0" borderId="24" xfId="0" applyFont="1" applyBorder="1" applyNumberFormat="1">
      <alignment vertical="top"/>
    </xf>
    <xf numFmtId="0" fontId="37" fillId="0" borderId="24" xfId="0" applyFont="1" applyBorder="1" applyNumberFormat="1">
      <alignment horizontal="center" vertical="center" wrapText="1"/>
    </xf>
    <xf numFmtId="0" fontId="37" fillId="0" borderId="24" xfId="0" applyFont="1" applyBorder="1" applyNumberFormat="1">
      <alignment vertical="center" wrapText="1"/>
    </xf>
    <xf numFmtId="49" fontId="20" fillId="0" borderId="0" xfId="0" applyFont="1" applyNumberFormat="1">
      <alignment vertical="top"/>
    </xf>
    <xf numFmtId="49" fontId="0" fillId="0" borderId="24" xfId="0" applyFont="1" applyBorder="1" applyNumberFormat="1">
      <alignment vertical="top"/>
    </xf>
    <xf numFmtId="49" fontId="19" fillId="0" borderId="0" xfId="0" applyFont="1" applyNumberFormat="1">
      <alignment vertical="top"/>
    </xf>
    <xf numFmtId="49" fontId="19" fillId="0" borderId="0" xfId="0" applyFont="1" applyNumberFormat="1">
      <alignment vertical="center" wrapText="1"/>
    </xf>
    <xf numFmtId="0" fontId="25" fillId="34" borderId="0" xfId="0" applyFont="1" applyFill="1" applyNumberFormat="1">
      <alignment vertical="center" wrapText="1"/>
    </xf>
    <xf numFmtId="0" fontId="20" fillId="0" borderId="0" xfId="0" applyFont="1" applyNumberFormat="1">
      <alignment horizontal="center" vertical="center" wrapText="1"/>
    </xf>
    <xf numFmtId="0" fontId="20" fillId="0" borderId="0" xfId="0" applyFont="1" applyNumberFormat="1">
      <alignment vertical="center" wrapText="1"/>
    </xf>
    <xf numFmtId="0" fontId="19" fillId="34" borderId="0" xfId="0" applyFont="1" applyFill="1" applyNumberFormat="1">
      <alignment vertical="center" wrapText="1"/>
    </xf>
    <xf numFmtId="49" fontId="19" fillId="0" borderId="0" xfId="0" applyFont="1" applyNumberFormat="1">
      <alignment vertical="center" wrapText="1"/>
    </xf>
    <xf numFmtId="49" fontId="29" fillId="36" borderId="15" xfId="0" applyFont="1" applyFill="1" applyBorder="1" applyNumberFormat="1">
      <alignment horizontal="left" vertical="center" indent="2"/>
    </xf>
    <xf numFmtId="49" fontId="29" fillId="36" borderId="15" xfId="0" applyFont="1" applyFill="1" applyBorder="1" applyNumberFormat="1">
      <alignment horizontal="left" vertical="center" indent="4"/>
    </xf>
    <xf numFmtId="49" fontId="19" fillId="0" borderId="0" xfId="0" applyFont="1" applyNumberFormat="1">
      <alignment vertical="center"/>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0" fontId="37" fillId="0" borderId="0" xfId="0" applyFont="1" applyNumberFormat="1">
      <alignment vertical="center"/>
    </xf>
    <xf numFmtId="0" fontId="19" fillId="0" borderId="0" xfId="0" applyFont="1" applyNumberFormat="1">
      <alignment vertical="top" wrapText="1"/>
    </xf>
    <xf numFmtId="49" fontId="19" fillId="0" borderId="12" xfId="0" applyFont="1" applyBorder="1" applyNumberFormat="1">
      <alignment horizontal="right" vertical="top"/>
    </xf>
    <xf numFmtId="49" fontId="19" fillId="0" borderId="17" xfId="0" applyFont="1" applyBorder="1" applyNumberFormat="1">
      <alignment horizontal="right" vertical="top"/>
    </xf>
    <xf numFmtId="49" fontId="29" fillId="36" borderId="15" xfId="0" applyFont="1" applyFill="1" applyBorder="1" applyNumberFormat="1">
      <alignment horizontal="left" vertical="center" indent="3"/>
    </xf>
    <xf numFmtId="49" fontId="0" fillId="0" borderId="0" xfId="0" applyFont="1" applyNumberFormat="1">
      <alignment vertical="top"/>
    </xf>
    <xf numFmtId="0" fontId="19" fillId="0" borderId="0" xfId="0" applyFont="1" applyNumberFormat="1">
      <alignment vertical="center" wrapText="1"/>
    </xf>
    <xf numFmtId="49" fontId="20" fillId="0" borderId="0" xfId="0" applyFont="1" applyNumberFormat="1">
      <alignment vertical="top"/>
    </xf>
    <xf numFmtId="49" fontId="28" fillId="0" borderId="0" xfId="0" applyFont="1" applyNumberFormat="1">
      <alignment vertical="top"/>
    </xf>
    <xf numFmtId="0" fontId="28" fillId="34" borderId="0" xfId="0" applyFont="1" applyFill="1" applyNumberFormat="1">
      <alignment vertical="center" wrapText="1"/>
    </xf>
    <xf numFmtId="49" fontId="19" fillId="0" borderId="0" xfId="0" applyFont="1" applyNumberFormat="1">
      <alignment vertical="top"/>
    </xf>
    <xf numFmtId="49" fontId="19" fillId="38" borderId="12" xfId="0" applyFont="1" applyFill="1" applyBorder="1" applyNumberFormat="1">
      <alignment horizontal="left" vertical="center" wrapText="1" indent="4"/>
      <protection locked="0"/>
    </xf>
    <xf numFmtId="49" fontId="19" fillId="38"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37" fillId="0" borderId="0" xfId="0" applyFont="1" applyNumberFormat="1">
      <alignment vertical="top"/>
    </xf>
    <xf numFmtId="49" fontId="37" fillId="0" borderId="0" xfId="0" applyFont="1" applyNumberFormat="1">
      <alignment vertical="center" wrapText="1"/>
    </xf>
    <xf numFmtId="49" fontId="37" fillId="0" borderId="0" xfId="0" applyFont="1" applyNumberFormat="1">
      <alignment vertical="top"/>
    </xf>
    <xf numFmtId="49" fontId="37" fillId="0" borderId="0" xfId="0" applyFont="1" applyNumberFormat="1">
      <alignment vertical="center"/>
    </xf>
    <xf numFmtId="49" fontId="19" fillId="38" borderId="12" xfId="0" applyFont="1" applyFill="1" applyBorder="1" applyNumberFormat="1">
      <alignment horizontal="left" vertical="center" wrapText="1"/>
      <protection locked="0"/>
    </xf>
    <xf numFmtId="49" fontId="43" fillId="38"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2" fontId="19" fillId="0" borderId="12" xfId="0" applyFont="1" applyBorder="1" applyNumberFormat="1">
      <alignment horizontal="right" vertical="center" wrapText="1"/>
    </xf>
    <xf numFmtId="49" fontId="43" fillId="38" borderId="14" xfId="0" applyFont="1" applyFill="1" applyBorder="1" applyNumberFormat="1">
      <alignment horizontal="left" vertical="center" wrapText="1"/>
      <protection locked="0"/>
    </xf>
    <xf numFmtId="0" fontId="19" fillId="34" borderId="12" xfId="0" applyFont="1" applyFill="1" applyBorder="1" applyNumberFormat="1">
      <alignment horizontal="center" vertical="center" wrapText="1"/>
    </xf>
    <xf numFmtId="0" fontId="25" fillId="34" borderId="0" xfId="0" applyFont="1" applyFill="1" applyNumberFormat="1">
      <alignment horizontal="center" vertical="center" wrapText="1"/>
    </xf>
    <xf numFmtId="0" fontId="0" fillId="0" borderId="12" xfId="0" applyFont="1" applyBorder="1" applyNumberFormat="1">
      <alignment horizontal="left" vertical="center" wrapText="1"/>
    </xf>
    <xf numFmtId="0" fontId="19" fillId="34" borderId="0" xfId="0" applyFont="1" applyFill="1" applyNumberFormat="1">
      <alignment horizontal="center" vertical="center" wrapText="1"/>
    </xf>
    <xf numFmtId="0" fontId="39" fillId="0" borderId="0" xfId="0" applyFont="1" applyNumberFormat="1">
      <alignment vertical="top" wrapText="1"/>
    </xf>
    <xf numFmtId="0" fontId="19" fillId="34" borderId="26" xfId="0" applyFont="1" applyFill="1" applyBorder="1" applyNumberFormat="1">
      <alignment horizontal="right" vertical="center" wrapText="1" indent="1"/>
    </xf>
    <xf numFmtId="0" fontId="0" fillId="34" borderId="26" xfId="0" applyFont="1" applyFill="1" applyBorder="1" applyNumberFormat="1">
      <alignment horizontal="right" vertical="center" wrapText="1" indent="1"/>
    </xf>
    <xf numFmtId="0" fontId="19" fillId="0" borderId="0" xfId="0" applyFont="1" applyNumberFormat="1">
      <alignment horizontal="left" vertical="center" wrapText="1" indent="4"/>
    </xf>
    <xf numFmtId="0" fontId="19" fillId="34" borderId="0" xfId="0" applyFont="1" applyFill="1" applyNumberFormat="1">
      <alignment horizontal="center" vertical="center" wrapText="1"/>
    </xf>
    <xf numFmtId="49" fontId="29" fillId="36" borderId="15" xfId="0" applyFont="1" applyFill="1" applyBorder="1" applyNumberFormat="1">
      <alignment horizontal="left" vertical="center"/>
    </xf>
    <xf numFmtId="0" fontId="19" fillId="0" borderId="19" xfId="0" applyFont="1" applyBorder="1" applyNumberFormat="1">
      <alignment vertical="center" wrapText="1"/>
    </xf>
    <xf numFmtId="0" fontId="19" fillId="0" borderId="0" xfId="0" applyFont="1" applyNumberFormat="1">
      <alignment horizontal="left" vertical="center" wrapText="1" indent="1"/>
    </xf>
    <xf numFmtId="0" fontId="62" fillId="0" borderId="0" xfId="0" applyFont="1" applyNumberFormat="1">
      <alignment vertical="center" wrapText="1"/>
    </xf>
    <xf numFmtId="49" fontId="0" fillId="34" borderId="14" xfId="0" applyFont="1" applyFill="1" applyBorder="1" applyNumberFormat="1">
      <alignment horizontal="center" vertical="center" wrapText="1"/>
    </xf>
    <xf numFmtId="49" fontId="29" fillId="36" borderId="27" xfId="0" applyFont="1" applyFill="1" applyBorder="1" applyNumberFormat="1">
      <alignment horizontal="left" vertical="center" indent="2"/>
    </xf>
    <xf numFmtId="49" fontId="43" fillId="35" borderId="12" xfId="0" applyFont="1" applyFill="1" applyBorder="1" applyNumberFormat="1">
      <alignment horizontal="left" vertical="center" wrapText="1"/>
      <protection locked="0"/>
    </xf>
    <xf numFmtId="49" fontId="19" fillId="0" borderId="19" xfId="0" applyFont="1" applyBorder="1" applyNumberFormat="1">
      <alignment vertical="top"/>
    </xf>
    <xf numFmtId="49" fontId="60" fillId="36" borderId="13" xfId="0" applyFont="1" applyFill="1" applyBorder="1" applyNumberFormat="1">
      <alignment horizontal="left" vertical="center" indent="1"/>
    </xf>
    <xf numFmtId="49" fontId="60" fillId="36" borderId="15" xfId="0" applyFont="1" applyFill="1" applyBorder="1" applyNumberFormat="1">
      <alignment horizontal="left" vertical="center" indent="1"/>
    </xf>
    <xf numFmtId="49" fontId="39" fillId="36" borderId="14" xfId="0" applyFont="1" applyFill="1" applyBorder="1" applyNumberFormat="1">
      <alignment horizontal="center" vertical="center"/>
    </xf>
    <xf numFmtId="49" fontId="60" fillId="36" borderId="15" xfId="0" applyFont="1" applyFill="1" applyBorder="1" applyNumberFormat="1">
      <alignment vertical="center"/>
    </xf>
    <xf numFmtId="0" fontId="0" fillId="40" borderId="12" xfId="0" applyFont="1" applyFill="1" applyBorder="1" applyNumberFormat="1">
      <alignment horizontal="right" vertical="center"/>
    </xf>
    <xf numFmtId="0" fontId="21" fillId="0" borderId="0" xfId="0" applyFont="1" applyNumberFormat="1">
      <alignment vertical="center" wrapText="1"/>
    </xf>
    <xf numFmtId="0" fontId="19" fillId="0" borderId="0" xfId="0" applyFont="1" applyNumberFormat="1">
      <alignment vertical="center" wrapText="1"/>
    </xf>
    <xf numFmtId="0" fontId="22" fillId="34" borderId="0" xfId="0" applyFont="1" applyFill="1" applyNumberFormat="1">
      <alignment vertical="center" wrapText="1"/>
    </xf>
    <xf numFmtId="0" fontId="20" fillId="0" borderId="0" xfId="0" applyFont="1" applyNumberFormat="1">
      <alignment horizontal="center" vertical="center" wrapText="1"/>
    </xf>
    <xf numFmtId="0" fontId="0" fillId="0" borderId="0" xfId="0" applyFont="1" applyNumberFormat="1">
      <alignment vertical="center" wrapText="1"/>
    </xf>
    <xf numFmtId="0" fontId="20" fillId="0" borderId="0" xfId="0" applyFont="1" applyNumberFormat="1">
      <alignment horizontal="left" vertical="center" wrapText="1"/>
    </xf>
    <xf numFmtId="0" fontId="0" fillId="0" borderId="12" xfId="0" applyFont="1" applyBorder="1" applyNumberFormat="1">
      <alignment horizontal="center" vertical="center" wrapText="1"/>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0" fontId="36" fillId="0" borderId="0" xfId="0" applyFont="1" applyNumberFormat="1">
      <alignment vertical="center" wrapText="1"/>
    </xf>
    <xf numFmtId="0" fontId="0" fillId="0" borderId="0" xfId="0" applyFont="1" applyNumberFormat="1">
      <alignment vertical="center"/>
    </xf>
    <xf numFmtId="49" fontId="37" fillId="0" borderId="0" xfId="0" applyFont="1" applyNumberFormat="1">
      <alignment vertical="top"/>
    </xf>
    <xf numFmtId="0" fontId="64" fillId="0" borderId="0" xfId="0" applyFont="1" applyNumberFormat="1">
      <alignment vertical="center" wrapText="1"/>
    </xf>
    <xf numFmtId="49" fontId="39" fillId="36" borderId="14" xfId="0" applyFont="1" applyFill="1" applyBorder="1" applyNumberFormat="1">
      <alignment horizontal="right" vertical="center" wrapText="1"/>
    </xf>
    <xf numFmtId="49" fontId="36" fillId="0" borderId="0" xfId="0" applyFont="1" applyNumberFormat="1">
      <alignment vertical="top"/>
    </xf>
    <xf numFmtId="49" fontId="0" fillId="0" borderId="0" xfId="0" applyFont="1" applyNumberFormat="1">
      <alignment vertical="top"/>
    </xf>
    <xf numFmtId="49" fontId="0" fillId="36" borderId="13" xfId="0" applyFont="1" applyFill="1" applyBorder="1" applyNumberFormat="1">
      <alignment horizontal="right" vertical="center" wrapText="1"/>
    </xf>
    <xf numFmtId="0" fontId="0" fillId="0" borderId="12" xfId="0" applyFont="1" applyBorder="1" applyNumberFormat="1">
      <alignment horizontal="center"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50" fillId="0" borderId="0" xfId="0" applyFont="1" applyNumberFormat="1">
      <alignment vertical="center" wrapText="1"/>
    </xf>
    <xf numFmtId="0" fontId="0" fillId="0" borderId="14" xfId="0" applyFont="1" applyBorder="1" applyNumberFormat="1">
      <alignment horizontal="center" vertical="center" wrapText="1"/>
    </xf>
    <xf numFmtId="0" fontId="0" fillId="35"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4" borderId="14" xfId="0" applyFont="1" applyFill="1" applyBorder="1" applyNumberFormat="1">
      <alignment horizontal="left" vertical="center" wrapText="1" indent="1"/>
    </xf>
    <xf numFmtId="0" fontId="0" fillId="34" borderId="17" xfId="0" applyFont="1" applyFill="1" applyBorder="1" applyNumberFormat="1">
      <alignment horizontal="left" vertical="center" wrapText="1"/>
    </xf>
    <xf numFmtId="0" fontId="0" fillId="34" borderId="12" xfId="0" applyFont="1" applyFill="1" applyBorder="1" applyNumberFormat="1">
      <alignment horizontal="left" vertical="center" wrapText="1"/>
    </xf>
    <xf numFmtId="0" fontId="0" fillId="34" borderId="12" xfId="0" applyFont="1" applyFill="1" applyBorder="1" applyNumberFormat="1">
      <alignment horizontal="left" vertical="center" wrapText="1" indent="2"/>
    </xf>
    <xf numFmtId="0" fontId="0" fillId="34" borderId="12" xfId="0" applyFont="1" applyFill="1" applyBorder="1" applyNumberFormat="1">
      <alignment horizontal="center" vertical="center"/>
    </xf>
    <xf numFmtId="49" fontId="0" fillId="38" borderId="12" xfId="0" applyFont="1" applyFill="1" applyBorder="1" applyNumberFormat="1">
      <alignment horizontal="left" vertical="center" wrapText="1"/>
      <protection locked="0"/>
    </xf>
    <xf numFmtId="0" fontId="0" fillId="34" borderId="12" xfId="0" applyFont="1" applyFill="1" applyBorder="1" applyNumberFormat="1">
      <alignment horizontal="left" vertical="center" wrapText="1" indent="1"/>
    </xf>
    <xf numFmtId="0" fontId="0" fillId="0" borderId="12" xfId="0" applyFont="1" applyBorder="1" applyNumberFormat="1">
      <alignment horizontal="center" vertical="center" wrapText="1"/>
    </xf>
    <xf numFmtId="0" fontId="0" fillId="34" borderId="12" xfId="0" applyFont="1" applyFill="1" applyBorder="1" applyNumberFormat="1">
      <alignment vertical="center" wrapText="1"/>
    </xf>
    <xf numFmtId="49" fontId="0" fillId="34" borderId="12" xfId="0" applyFont="1" applyFill="1" applyBorder="1" applyNumberFormat="1">
      <alignment horizontal="center" vertical="center"/>
    </xf>
    <xf numFmtId="0" fontId="0" fillId="34" borderId="12" xfId="0" applyFont="1" applyFill="1" applyBorder="1" applyNumberFormat="1">
      <alignment horizontal="center" vertical="center" wrapText="1"/>
    </xf>
    <xf numFmtId="0" fontId="19" fillId="0" borderId="0" xfId="0" applyFont="1" applyNumberFormat="1">
      <alignment vertical="center" wrapText="1"/>
    </xf>
    <xf numFmtId="49" fontId="24" fillId="34" borderId="0" xfId="0" applyFont="1" applyFill="1" applyNumberFormat="1">
      <alignment horizontal="center"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25" fillId="0" borderId="0" xfId="0" applyFont="1" applyNumberFormat="1">
      <alignment horizontal="center" vertical="center" wrapText="1"/>
    </xf>
    <xf numFmtId="0" fontId="31" fillId="0" borderId="0" xfId="0" applyFont="1" applyNumberFormat="1">
      <alignment vertical="center" wrapText="1"/>
    </xf>
    <xf numFmtId="0" fontId="35" fillId="0" borderId="0" xfId="0" applyFont="1" applyNumberFormat="1">
      <alignment horizontal="center" vertical="center" wrapText="1"/>
    </xf>
    <xf numFmtId="0" fontId="34" fillId="0" borderId="0" xfId="0" applyFont="1" applyNumberFormat="1">
      <alignment vertical="center" wrapText="1"/>
    </xf>
    <xf numFmtId="0" fontId="0" fillId="34" borderId="0" xfId="0" applyFont="1" applyFill="1" applyNumberFormat="1"/>
    <xf numFmtId="0" fontId="0" fillId="34" borderId="0" xfId="0" applyFont="1" applyFill="1" applyNumberFormat="1">
      <alignment horizontal="center"/>
    </xf>
    <xf numFmtId="0" fontId="19" fillId="34" borderId="0" xfId="0" applyFont="1" applyFill="1" applyNumberFormat="1">
      <alignment vertical="center" wrapText="1"/>
    </xf>
    <xf numFmtId="0" fontId="65" fillId="34" borderId="0" xfId="0" applyFont="1" applyFill="1" applyNumberFormat="1">
      <alignment horizontal="center"/>
    </xf>
    <xf numFmtId="0" fontId="65" fillId="34" borderId="0" xfId="0" applyFont="1" applyFill="1" applyNumberFormat="1"/>
    <xf numFmtId="0" fontId="66" fillId="34" borderId="0" xfId="0" applyFont="1" applyFill="1" applyNumberFormat="1"/>
    <xf numFmtId="0" fontId="67" fillId="34" borderId="0" xfId="0" applyFont="1" applyFill="1" applyNumberFormat="1">
      <alignment horizontal="right" vertical="center"/>
    </xf>
    <xf numFmtId="0" fontId="67" fillId="34" borderId="0" xfId="0" applyFont="1" applyFill="1" applyNumberFormat="1">
      <alignment horizontal="right" vertical="top"/>
    </xf>
    <xf numFmtId="0" fontId="19" fillId="34" borderId="0" xfId="0" applyFont="1" applyFill="1" applyNumberFormat="1">
      <alignment horizontal="center" vertical="center" wrapText="1"/>
    </xf>
    <xf numFmtId="0" fontId="24" fillId="34" borderId="0" xfId="0" applyFont="1" applyFill="1" applyNumberFormat="1">
      <alignment horizontal="center" vertical="center"/>
    </xf>
    <xf numFmtId="0" fontId="19" fillId="0" borderId="12" xfId="0" applyFont="1" applyBorder="1" applyNumberFormat="1">
      <alignment horizontal="center" vertical="center" wrapText="1"/>
    </xf>
    <xf numFmtId="0" fontId="34" fillId="0" borderId="0" xfId="0" applyFont="1" applyNumberFormat="1">
      <alignment vertical="top" wrapText="1"/>
    </xf>
    <xf numFmtId="0" fontId="19" fillId="36" borderId="14" xfId="0" applyFont="1" applyFill="1" applyBorder="1" applyNumberFormat="1">
      <alignment horizontal="center"/>
    </xf>
    <xf numFmtId="0" fontId="60" fillId="36" borderId="15" xfId="0" applyFont="1" applyFill="1" applyBorder="1" applyNumberFormat="1">
      <alignment horizontal="left" vertical="center"/>
    </xf>
    <xf numFmtId="0" fontId="60" fillId="36" borderId="13" xfId="0" applyFont="1" applyFill="1" applyBorder="1" applyNumberFormat="1">
      <alignment horizontal="left" vertical="center"/>
    </xf>
    <xf numFmtId="0" fontId="68" fillId="34" borderId="0" xfId="0" applyFont="1" applyFill="1" applyNumberFormat="1">
      <alignment vertical="center"/>
    </xf>
    <xf numFmtId="0" fontId="68" fillId="34" borderId="0" xfId="0" applyFont="1" applyFill="1" applyNumberFormat="1">
      <alignment vertical="center" wrapText="1"/>
    </xf>
    <xf numFmtId="49" fontId="19"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34" borderId="12" xfId="0" applyFont="1" applyFill="1" applyBorder="1" applyNumberFormat="1">
      <alignment vertical="center" wrapText="1"/>
    </xf>
    <xf numFmtId="0" fontId="55" fillId="34" borderId="0" xfId="0" applyFont="1" applyFill="1" applyNumberFormat="1"/>
    <xf numFmtId="0" fontId="41" fillId="34" borderId="0" xfId="0" applyFont="1" applyFill="1" applyNumberFormat="1"/>
    <xf numFmtId="0" fontId="51" fillId="34" borderId="0" xfId="0" applyFont="1" applyFill="1" applyNumberFormat="1"/>
    <xf numFmtId="0" fontId="51" fillId="34" borderId="0" xfId="0" applyFont="1" applyFill="1" applyNumberFormat="1">
      <alignment horizontal="center"/>
    </xf>
    <xf numFmtId="0" fontId="48" fillId="0" borderId="0" xfId="0" applyFont="1" applyNumberFormat="1">
      <alignment vertical="center" wrapText="1"/>
    </xf>
    <xf numFmtId="0" fontId="50" fillId="0" borderId="0" xfId="0" applyFont="1" applyNumberFormat="1">
      <alignment vertical="center" wrapText="1"/>
    </xf>
    <xf numFmtId="0" fontId="50" fillId="34" borderId="0" xfId="0" applyFont="1" applyFill="1" applyNumberFormat="1">
      <alignment vertical="center" wrapText="1"/>
    </xf>
    <xf numFmtId="0" fontId="50" fillId="34" borderId="0" xfId="0" applyFont="1" applyFill="1" applyNumberFormat="1">
      <alignment horizontal="right" vertical="center"/>
    </xf>
    <xf numFmtId="0" fontId="50" fillId="34" borderId="0" xfId="0" applyFont="1" applyFill="1" applyNumberFormat="1">
      <alignment horizontal="right" vertical="center" wrapText="1"/>
    </xf>
    <xf numFmtId="4" fontId="50" fillId="0" borderId="0" xfId="0" applyFont="1" applyNumberFormat="1">
      <alignment horizontal="right" vertical="center" wrapText="1"/>
    </xf>
    <xf numFmtId="0" fontId="50" fillId="0" borderId="0" xfId="0" applyFont="1" applyNumberFormat="1">
      <alignment horizontal="left" vertical="center" wrapText="1" indent="1"/>
    </xf>
    <xf numFmtId="0" fontId="69" fillId="34" borderId="0" xfId="0" applyFont="1" applyFill="1" applyNumberFormat="1">
      <alignment horizontal="center" vertical="center" wrapText="1"/>
    </xf>
    <xf numFmtId="0" fontId="24" fillId="34" borderId="0" xfId="0" applyFont="1" applyFill="1" applyNumberFormat="1">
      <alignment horizontal="center" vertical="center" wrapText="1"/>
    </xf>
    <xf numFmtId="0" fontId="54" fillId="0" borderId="0" xfId="0" applyFont="1" applyNumberFormat="1">
      <alignment vertical="center" wrapText="1"/>
    </xf>
    <xf numFmtId="0" fontId="37" fillId="0" borderId="0" xfId="0" applyFont="1" applyNumberFormat="1">
      <alignment vertical="center" wrapText="1"/>
    </xf>
    <xf numFmtId="49" fontId="19" fillId="39" borderId="12" xfId="0" applyFont="1" applyFill="1" applyBorder="1" applyNumberFormat="1">
      <alignment horizontal="left" vertical="center" wrapText="1"/>
    </xf>
    <xf numFmtId="0" fontId="54" fillId="0" borderId="0" xfId="0" applyFont="1" applyNumberFormat="1">
      <alignment horizontal="center" vertical="center" wrapText="1"/>
    </xf>
    <xf numFmtId="0" fontId="19" fillId="34" borderId="24" xfId="0" applyFont="1" applyFill="1" applyBorder="1" applyNumberFormat="1">
      <alignment vertical="center" wrapText="1"/>
    </xf>
    <xf numFmtId="49" fontId="24" fillId="34" borderId="15" xfId="0" applyFont="1" applyFill="1" applyBorder="1" applyNumberFormat="1">
      <alignment horizontal="center" vertical="center" wrapText="1"/>
    </xf>
    <xf numFmtId="0" fontId="37" fillId="0" borderId="0" xfId="0" applyFont="1" applyNumberFormat="1">
      <alignment horizontal="center" vertical="center" wrapText="1"/>
    </xf>
    <xf numFmtId="0" fontId="69" fillId="0" borderId="0" xfId="0" applyFont="1" applyNumberFormat="1">
      <alignment horizontal="center" vertical="center" wrapText="1"/>
    </xf>
    <xf numFmtId="0" fontId="63" fillId="0" borderId="0" xfId="0" applyFont="1" applyNumberFormat="1">
      <alignment vertical="center" wrapText="1"/>
    </xf>
    <xf numFmtId="49" fontId="63" fillId="0" borderId="12" xfId="0" applyFont="1" applyBorder="1" applyNumberFormat="1">
      <alignment horizontal="left" vertical="center" wrapText="1"/>
    </xf>
    <xf numFmtId="0" fontId="70" fillId="34" borderId="0" xfId="0" applyFont="1" applyFill="1" applyNumberFormat="1">
      <alignment horizontal="center" vertical="center" wrapText="1"/>
    </xf>
    <xf numFmtId="49" fontId="63" fillId="0" borderId="17" xfId="0" applyFont="1" applyBorder="1" applyNumberFormat="1">
      <alignment horizontal="left" vertical="center" wrapText="1"/>
    </xf>
    <xf numFmtId="0" fontId="37" fillId="0" borderId="0" xfId="0" applyFont="1" applyNumberFormat="1">
      <alignment vertical="center"/>
    </xf>
    <xf numFmtId="0" fontId="37" fillId="34" borderId="0" xfId="0" applyFont="1" applyFill="1" applyNumberFormat="1"/>
    <xf numFmtId="0" fontId="37" fillId="34" borderId="0" xfId="0" applyFont="1" applyFill="1" applyNumberFormat="1">
      <alignment vertical="center" wrapText="1"/>
    </xf>
    <xf numFmtId="0" fontId="37" fillId="0" borderId="0" xfId="0" applyFont="1" applyNumberFormat="1">
      <alignment vertical="center" wrapText="1"/>
    </xf>
    <xf numFmtId="49" fontId="19" fillId="0" borderId="0" xfId="0" applyFont="1" applyNumberFormat="1">
      <alignment vertical="top"/>
    </xf>
    <xf numFmtId="0" fontId="19" fillId="0" borderId="0" xfId="0" applyFont="1" applyNumberFormat="1">
      <alignment vertical="center" wrapText="1"/>
    </xf>
    <xf numFmtId="0" fontId="25" fillId="34" borderId="0" xfId="0" applyFont="1" applyFill="1" applyNumberFormat="1">
      <alignment horizontal="center" vertical="center" wrapText="1"/>
    </xf>
    <xf numFmtId="0" fontId="31" fillId="0" borderId="0" xfId="0" applyFont="1" applyNumberFormat="1">
      <alignment vertical="center" wrapText="1"/>
    </xf>
    <xf numFmtId="49" fontId="19" fillId="0" borderId="12" xfId="0" applyFont="1" applyBorder="1" applyNumberFormat="1">
      <alignment horizontal="left" vertical="center" wrapText="1"/>
    </xf>
    <xf numFmtId="0" fontId="19" fillId="0" borderId="0" xfId="0" applyFont="1" applyNumberFormat="1">
      <alignment vertical="center" wrapText="1"/>
    </xf>
    <xf numFmtId="49" fontId="37" fillId="0" borderId="0" xfId="0" applyFont="1" applyNumberFormat="1">
      <alignment vertical="center" wrapText="1"/>
    </xf>
    <xf numFmtId="0" fontId="37" fillId="0" borderId="0" xfId="0" applyFont="1" applyNumberFormat="1">
      <alignment vertical="center" wrapText="1"/>
    </xf>
    <xf numFmtId="0" fontId="19" fillId="0" borderId="12" xfId="0" applyFont="1" applyBorder="1" applyNumberFormat="1">
      <alignment horizontal="center" vertical="center" wrapText="1"/>
    </xf>
    <xf numFmtId="14"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0" fontId="37" fillId="0" borderId="0" xfId="0" applyFont="1" applyNumberFormat="1">
      <alignment horizontal="left" vertical="center" wrapText="1"/>
    </xf>
    <xf numFmtId="49" fontId="37" fillId="0" borderId="0" xfId="0" applyFont="1" applyNumberFormat="1">
      <alignment horizontal="left" vertical="center" wrapText="1"/>
    </xf>
    <xf numFmtId="0" fontId="37" fillId="0" borderId="0" xfId="0" applyFont="1" applyNumberFormat="1">
      <alignment vertical="center" wrapText="1"/>
    </xf>
    <xf numFmtId="49" fontId="43" fillId="0" borderId="12" xfId="0" applyFont="1" applyBorder="1" applyNumberFormat="1">
      <alignment horizontal="left" vertical="center" wrapText="1"/>
    </xf>
    <xf numFmtId="14"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horizontal="center" vertical="center" wrapText="1"/>
    </xf>
    <xf numFmtId="0" fontId="19" fillId="0" borderId="12" xfId="0" applyFont="1" applyBorder="1" applyNumberFormat="1">
      <alignment horizontal="center" vertical="center" wrapText="1"/>
    </xf>
    <xf numFmtId="49" fontId="19" fillId="39" borderId="12" xfId="0" applyFont="1" applyFill="1" applyBorder="1" applyNumberFormat="1">
      <alignment horizontal="center" vertical="center" wrapText="1"/>
    </xf>
    <xf numFmtId="0" fontId="72" fillId="0" borderId="0" xfId="0" applyFont="1" applyNumberFormat="1">
      <alignment horizontal="center" vertical="center" wrapText="1"/>
    </xf>
    <xf numFmtId="0" fontId="25" fillId="0" borderId="0" xfId="0" applyFont="1" applyNumberFormat="1">
      <alignment horizontal="center" vertical="center" wrapText="1"/>
    </xf>
    <xf numFmtId="49" fontId="19" fillId="0" borderId="12" xfId="0" applyFont="1" applyBorder="1" applyNumberFormat="1">
      <alignment horizontal="center" vertical="center" wrapText="1"/>
    </xf>
    <xf numFmtId="0" fontId="0" fillId="34" borderId="14" xfId="0" applyFont="1" applyFill="1" applyBorder="1" applyNumberFormat="1">
      <alignment horizontal="left" vertical="center" wrapText="1"/>
    </xf>
    <xf numFmtId="49" fontId="39" fillId="36" borderId="15" xfId="0" applyFont="1" applyFill="1" applyBorder="1" applyNumberFormat="1">
      <alignment horizontal="center" vertical="center"/>
    </xf>
    <xf numFmtId="0" fontId="21" fillId="0" borderId="0" xfId="0" applyFont="1" applyNumberFormat="1">
      <alignment vertical="center" wrapText="1"/>
    </xf>
    <xf numFmtId="0" fontId="20" fillId="0" borderId="0" xfId="0" applyFont="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vertical="center" wrapText="1"/>
    </xf>
    <xf numFmtId="0" fontId="36" fillId="0" borderId="0" xfId="0" applyFont="1" applyNumberFormat="1">
      <alignment horizontal="center" vertical="center" wrapText="1"/>
    </xf>
    <xf numFmtId="0" fontId="73" fillId="0" borderId="0" xfId="0" applyFont="1" applyNumberFormat="1">
      <alignment vertical="center" wrapText="1"/>
    </xf>
    <xf numFmtId="49" fontId="36" fillId="0" borderId="0" xfId="0" applyFont="1" applyNumberFormat="1">
      <alignment horizontal="center" vertical="center" wrapText="1"/>
    </xf>
    <xf numFmtId="0" fontId="36" fillId="0" borderId="0" xfId="0" applyFont="1" applyNumberFormat="1">
      <alignment vertical="center" wrapText="1"/>
    </xf>
    <xf numFmtId="49" fontId="19" fillId="0" borderId="0" xfId="0" applyFont="1" applyNumberFormat="1">
      <alignment horizontal="center" vertical="top" wrapText="1"/>
    </xf>
    <xf numFmtId="49" fontId="19" fillId="0" borderId="12" xfId="0" applyFont="1" applyBorder="1" applyNumberFormat="1">
      <alignment horizontal="center" vertical="center" wrapText="1"/>
    </xf>
    <xf numFmtId="49" fontId="19" fillId="38" borderId="12" xfId="0" applyFont="1" applyFill="1" applyBorder="1" applyNumberFormat="1">
      <alignment vertical="center" wrapText="1"/>
      <protection locked="0"/>
    </xf>
    <xf numFmtId="4" fontId="19" fillId="35" borderId="12" xfId="0" applyFont="1" applyFill="1" applyBorder="1" applyNumberFormat="1">
      <alignment horizontal="right" vertical="center" wrapText="1"/>
      <protection locked="0"/>
    </xf>
    <xf numFmtId="0" fontId="19" fillId="0" borderId="13" xfId="0" applyFont="1" applyBorder="1" applyNumberFormat="1">
      <alignment vertical="top" wrapText="1"/>
    </xf>
    <xf numFmtId="0" fontId="74" fillId="0" borderId="0" xfId="0" applyFont="1" applyNumberFormat="1">
      <alignment vertical="center" wrapText="1"/>
    </xf>
    <xf numFmtId="0" fontId="44" fillId="0" borderId="0" xfId="0" applyFont="1" applyNumberFormat="1">
      <alignment vertical="center" wrapText="1"/>
    </xf>
    <xf numFmtId="173" fontId="19" fillId="35" borderId="12" xfId="0" applyFont="1" applyFill="1" applyBorder="1" applyNumberFormat="1">
      <alignment horizontal="right" vertical="center" wrapText="1"/>
      <protection locked="0"/>
    </xf>
    <xf numFmtId="0" fontId="19" fillId="0" borderId="28" xfId="0" applyFont="1" applyBorder="1" applyNumberFormat="1">
      <alignment horizontal="center" vertical="center" wrapText="1"/>
    </xf>
    <xf numFmtId="0" fontId="19" fillId="38" borderId="12" xfId="0" applyFont="1" applyFill="1" applyBorder="1" applyNumberFormat="1">
      <alignment horizontal="left" vertical="center" wrapText="1" indent="2"/>
      <protection locked="0"/>
    </xf>
    <xf numFmtId="49" fontId="37" fillId="0" borderId="0" xfId="0" applyFont="1" applyNumberFormat="1">
      <alignment horizontal="center" vertical="center" wrapText="1"/>
    </xf>
    <xf numFmtId="0" fontId="37" fillId="0" borderId="28" xfId="0" applyFont="1" applyBorder="1" applyNumberFormat="1">
      <alignment horizontal="center" vertical="center" wrapText="1"/>
    </xf>
    <xf numFmtId="0" fontId="37" fillId="0" borderId="12" xfId="0" applyFont="1" applyBorder="1" applyNumberFormat="1">
      <alignment horizontal="left" vertical="center" wrapText="1" indent="2"/>
    </xf>
    <xf numFmtId="0" fontId="37" fillId="0" borderId="12" xfId="0" applyFont="1" applyBorder="1" applyNumberFormat="1">
      <alignment horizontal="center" vertical="center" wrapText="1"/>
    </xf>
    <xf numFmtId="0" fontId="37" fillId="0" borderId="12" xfId="0" applyFont="1" applyBorder="1" applyNumberFormat="1">
      <alignment vertical="center" wrapText="1"/>
    </xf>
    <xf numFmtId="0" fontId="19" fillId="0" borderId="12" xfId="0" applyFont="1" applyBorder="1" applyNumberFormat="1">
      <alignment horizontal="left" vertical="center" wrapText="1" indent="3"/>
    </xf>
    <xf numFmtId="49" fontId="19" fillId="38" borderId="12" xfId="0" applyFont="1" applyFill="1" applyBorder="1" applyNumberFormat="1">
      <alignment horizontal="center" vertical="center" wrapText="1"/>
      <protection locked="0"/>
    </xf>
    <xf numFmtId="0" fontId="19" fillId="35" borderId="12" xfId="0" applyFont="1" applyFill="1" applyBorder="1" applyNumberFormat="1">
      <alignment horizontal="left" vertical="center" wrapText="1"/>
      <protection locked="0"/>
    </xf>
    <xf numFmtId="0" fontId="35" fillId="0" borderId="0" xfId="0" applyFont="1" applyNumberFormat="1">
      <alignment vertical="center" wrapText="1"/>
    </xf>
    <xf numFmtId="4" fontId="19" fillId="38" borderId="12" xfId="0" applyFont="1" applyFill="1" applyBorder="1" applyNumberFormat="1">
      <alignment horizontal="right" vertical="center" wrapText="1"/>
      <protection locked="0"/>
    </xf>
    <xf numFmtId="4" fontId="19" fillId="33" borderId="12" xfId="0" applyFont="1" applyFill="1" applyBorder="1" applyNumberFormat="1">
      <alignment horizontal="right" vertical="center" wrapText="1"/>
    </xf>
    <xf numFmtId="0" fontId="19" fillId="0" borderId="12" xfId="0" applyFont="1" applyBorder="1" applyNumberFormat="1">
      <alignment horizontal="left" vertical="center" wrapText="1" indent="1"/>
    </xf>
    <xf numFmtId="49" fontId="63" fillId="0" borderId="0" xfId="0" applyFont="1" applyNumberFormat="1">
      <alignment horizontal="center" vertical="center" wrapText="1"/>
    </xf>
    <xf numFmtId="49" fontId="63" fillId="0" borderId="28" xfId="0" applyFont="1" applyBorder="1" applyNumberFormat="1">
      <alignment horizontal="center" vertical="center" wrapText="1"/>
    </xf>
    <xf numFmtId="0" fontId="63" fillId="0" borderId="12" xfId="0" applyFont="1" applyBorder="1" applyNumberFormat="1">
      <alignment horizontal="left" vertical="center" wrapText="1" indent="2"/>
    </xf>
    <xf numFmtId="0" fontId="63" fillId="0" borderId="12" xfId="0" applyFont="1" applyBorder="1" applyNumberFormat="1">
      <alignment horizontal="center" vertical="center" wrapText="1"/>
    </xf>
    <xf numFmtId="0" fontId="63" fillId="0" borderId="12" xfId="0" applyFont="1" applyBorder="1" applyNumberFormat="1">
      <alignment vertical="center" wrapText="1"/>
    </xf>
    <xf numFmtId="0" fontId="75" fillId="0" borderId="0" xfId="0" applyFont="1" applyNumberFormat="1">
      <alignment vertical="center" wrapText="1"/>
    </xf>
    <xf numFmtId="0" fontId="53" fillId="0" borderId="0" xfId="0" applyFont="1" applyNumberFormat="1">
      <alignment vertical="center" wrapText="1"/>
    </xf>
    <xf numFmtId="0" fontId="63" fillId="0" borderId="28" xfId="0" applyFont="1" applyBorder="1" applyNumberFormat="1">
      <alignment horizontal="center" vertical="center" wrapText="1"/>
    </xf>
    <xf numFmtId="0" fontId="63" fillId="0" borderId="12" xfId="0" applyFont="1" applyBorder="1" applyNumberFormat="1">
      <alignment horizontal="left" vertical="center" wrapText="1" indent="3"/>
    </xf>
    <xf numFmtId="4" fontId="63" fillId="0" borderId="12" xfId="0" applyFont="1" applyBorder="1" applyNumberFormat="1">
      <alignment horizontal="right" vertical="center" wrapText="1"/>
    </xf>
    <xf numFmtId="49" fontId="19" fillId="36" borderId="14" xfId="0" applyFont="1" applyFill="1" applyBorder="1" applyNumberFormat="1">
      <alignment vertical="center" wrapText="1"/>
    </xf>
    <xf numFmtId="49" fontId="29" fillId="36" borderId="15" xfId="0" applyFont="1" applyFill="1" applyBorder="1" applyNumberFormat="1">
      <alignment horizontal="left" vertical="center" indent="2"/>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14" fontId="19" fillId="0" borderId="0" xfId="0" applyFont="1" applyNumberFormat="1">
      <alignment horizontal="center" vertical="center" wrapText="1"/>
    </xf>
    <xf numFmtId="49" fontId="39" fillId="0" borderId="0" xfId="0" applyFont="1" applyNumberFormat="1">
      <alignment horizontal="center" vertical="center"/>
    </xf>
    <xf numFmtId="0" fontId="19" fillId="0" borderId="12" xfId="0" applyFont="1" applyBorder="1" applyNumberFormat="1">
      <alignment horizontal="left" vertical="center" wrapText="1" indent="2"/>
    </xf>
    <xf numFmtId="173" fontId="19" fillId="38" borderId="12" xfId="0" applyFont="1" applyFill="1" applyBorder="1" applyNumberFormat="1">
      <alignment horizontal="right" vertical="center" wrapText="1"/>
      <protection locked="0"/>
    </xf>
    <xf numFmtId="0" fontId="19" fillId="0" borderId="17" xfId="0" applyFont="1" applyBorder="1" applyNumberFormat="1">
      <alignment horizontal="center" vertical="center" wrapText="1"/>
    </xf>
    <xf numFmtId="4" fontId="19" fillId="33" borderId="17"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0" fontId="19" fillId="0" borderId="0" xfId="0" applyFont="1" applyNumberFormat="1">
      <alignment horizontal="left" vertical="center" wrapText="1"/>
    </xf>
    <xf numFmtId="0" fontId="19" fillId="0" borderId="0" xfId="0" applyFont="1" applyNumberFormat="1">
      <alignment vertical="center"/>
    </xf>
    <xf numFmtId="0" fontId="0" fillId="0" borderId="0" xfId="0" applyFont="1" applyNumberFormat="1">
      <alignment vertical="center"/>
    </xf>
    <xf numFmtId="0" fontId="36" fillId="0" borderId="0" xfId="0" applyFont="1" applyNumberFormat="1">
      <alignment vertical="center"/>
    </xf>
    <xf numFmtId="0" fontId="19" fillId="0" borderId="0" xfId="0" applyFont="1" applyNumberFormat="1">
      <alignment vertical="center"/>
    </xf>
    <xf numFmtId="0" fontId="76" fillId="0" borderId="0" xfId="0" applyFont="1" applyNumberFormat="1">
      <alignment vertical="center"/>
    </xf>
    <xf numFmtId="0" fontId="30" fillId="0" borderId="0" xfId="0" applyFont="1" applyNumberFormat="1">
      <alignment vertical="center"/>
    </xf>
    <xf numFmtId="0" fontId="19" fillId="0" borderId="0" xfId="0" applyFont="1" applyNumberFormat="1">
      <alignment vertical="center" wrapText="1"/>
    </xf>
    <xf numFmtId="0" fontId="30" fillId="0" borderId="0" xfId="0" applyFont="1" applyNumberFormat="1">
      <alignment vertical="center"/>
    </xf>
    <xf numFmtId="0" fontId="76" fillId="0" borderId="0" xfId="0" applyFont="1" applyNumberFormat="1">
      <alignment vertical="center"/>
    </xf>
    <xf numFmtId="0" fontId="42" fillId="0" borderId="0" xfId="0" applyFont="1" applyNumberFormat="1">
      <alignment vertical="center"/>
    </xf>
    <xf numFmtId="0" fontId="19" fillId="0" borderId="0" xfId="0" applyFont="1" applyNumberFormat="1">
      <alignment horizontal="center" vertical="center" wrapText="1"/>
    </xf>
    <xf numFmtId="49" fontId="24" fillId="0" borderId="0" xfId="0" applyFont="1" applyNumberFormat="1">
      <alignment horizontal="center" vertical="center" wrapText="1"/>
    </xf>
    <xf numFmtId="49" fontId="24" fillId="0" borderId="12" xfId="0" applyFont="1" applyBorder="1" applyNumberFormat="1">
      <alignment horizontal="center" vertical="center" wrapText="1"/>
    </xf>
    <xf numFmtId="0" fontId="36" fillId="0" borderId="0" xfId="0" applyFont="1" applyNumberFormat="1">
      <alignment vertical="center"/>
    </xf>
    <xf numFmtId="0" fontId="0" fillId="0" borderId="0" xfId="0" applyFont="1" applyNumberFormat="1">
      <alignment vertical="center"/>
    </xf>
    <xf numFmtId="0" fontId="37" fillId="0" borderId="0" xfId="0" applyFont="1" applyNumberFormat="1">
      <alignment horizontal="center" vertical="center"/>
    </xf>
    <xf numFmtId="0" fontId="19" fillId="0" borderId="0" xfId="0" applyFont="1" applyNumberFormat="1">
      <alignment horizontal="center" vertical="center" wrapText="1"/>
    </xf>
    <xf numFmtId="0" fontId="19" fillId="36" borderId="14"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0" fontId="0" fillId="36" borderId="13" xfId="0" applyFont="1" applyFill="1" applyBorder="1" applyNumberFormat="1">
      <alignment vertical="center"/>
    </xf>
    <xf numFmtId="49" fontId="19" fillId="0" borderId="17" xfId="0" applyFont="1" applyBorder="1" applyNumberFormat="1">
      <alignment horizontal="center" vertical="center" wrapText="1"/>
    </xf>
    <xf numFmtId="49" fontId="65" fillId="0" borderId="12" xfId="0" applyFont="1" applyBorder="1" applyNumberFormat="1">
      <alignment horizontal="left" vertical="center" wrapText="1" indent="1"/>
    </xf>
    <xf numFmtId="0" fontId="36" fillId="0" borderId="0" xfId="0" applyFont="1" applyNumberFormat="1">
      <alignment vertical="center"/>
    </xf>
    <xf numFmtId="0" fontId="64" fillId="0" borderId="0" xfId="0" applyFont="1" applyNumberFormat="1">
      <alignment vertical="center"/>
    </xf>
    <xf numFmtId="0" fontId="0" fillId="0" borderId="0" xfId="0" applyFont="1" applyNumberFormat="1">
      <alignment vertical="center"/>
    </xf>
    <xf numFmtId="49" fontId="29" fillId="36" borderId="13" xfId="0" applyFont="1" applyFill="1" applyBorder="1" applyNumberFormat="1">
      <alignment horizontal="left" vertical="center" indent="1"/>
    </xf>
    <xf numFmtId="49" fontId="39" fillId="36" borderId="13" xfId="0" applyFont="1" applyFill="1" applyBorder="1" applyNumberFormat="1">
      <alignment horizontal="right" vertical="center" wrapText="1"/>
    </xf>
    <xf numFmtId="0" fontId="65" fillId="41" borderId="0" xfId="0" applyFont="1" applyFill="1" applyNumberFormat="1">
      <alignment vertical="top"/>
    </xf>
    <xf numFmtId="49" fontId="20" fillId="0" borderId="0" xfId="0" applyFont="1" applyNumberFormat="1">
      <alignment horizontal="center" vertical="center" wrapText="1"/>
    </xf>
    <xf numFmtId="0" fontId="37"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horizontal="center" vertical="center" wrapText="1"/>
    </xf>
    <xf numFmtId="0" fontId="39" fillId="0" borderId="0" xfId="0" applyFont="1" applyNumberFormat="1">
      <alignment horizontal="center" vertical="center" wrapText="1"/>
    </xf>
    <xf numFmtId="49" fontId="20" fillId="0" borderId="0" xfId="0" applyFont="1" applyNumberFormat="1">
      <alignment horizontal="center" vertical="center" wrapText="1"/>
    </xf>
    <xf numFmtId="4" fontId="19" fillId="0" borderId="0" xfId="0" applyFont="1" applyNumberFormat="1">
      <alignment horizontal="right" vertical="center" wrapText="1"/>
    </xf>
    <xf numFmtId="9" fontId="39" fillId="0" borderId="0" xfId="0" applyFont="1" applyNumberFormat="1">
      <alignment horizontal="center" vertical="center" wrapText="1"/>
    </xf>
    <xf numFmtId="0" fontId="62"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49" fontId="53" fillId="0" borderId="0" xfId="0" applyFont="1" applyNumberFormat="1">
      <alignment horizontal="center" vertical="center" wrapText="1"/>
    </xf>
    <xf numFmtId="0" fontId="53"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49" fontId="36" fillId="0" borderId="0" xfId="0" applyFont="1" applyNumberFormat="1">
      <alignment vertical="top"/>
    </xf>
    <xf numFmtId="0" fontId="36" fillId="0" borderId="0" xfId="0" applyFont="1" applyNumberFormat="1">
      <alignment vertical="top"/>
    </xf>
    <xf numFmtId="0" fontId="64" fillId="0" borderId="0" xfId="0" applyFont="1" applyNumberFormat="1">
      <alignment vertical="top"/>
    </xf>
    <xf numFmtId="0" fontId="77" fillId="0" borderId="0" xfId="0" applyFont="1" applyNumberFormat="1">
      <alignment vertical="top"/>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6" fillId="0" borderId="12" xfId="0" applyFont="1" applyBorder="1" applyNumberFormat="1">
      <alignment horizontal="right" vertical="center" wrapText="1"/>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49" fontId="29" fillId="36" borderId="14" xfId="0" applyFont="1" applyFill="1" applyBorder="1" applyNumberFormat="1">
      <alignment horizontal="left" vertical="center"/>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0" fontId="29" fillId="0" borderId="12" xfId="0" applyFont="1" applyBorder="1" applyNumberFormat="1">
      <alignment horizontal="left" vertical="center" indent="1"/>
    </xf>
    <xf numFmtId="0" fontId="19" fillId="0" borderId="0" xfId="0" applyFont="1" applyNumberFormat="1">
      <alignment horizontal="right" vertical="center" wrapText="1"/>
    </xf>
    <xf numFmtId="0" fontId="0" fillId="0" borderId="0" xfId="0" applyFont="1" applyNumberFormat="1">
      <alignment vertical="center"/>
    </xf>
    <xf numFmtId="0" fontId="34" fillId="0" borderId="0" xfId="0" applyFont="1" applyNumberFormat="1">
      <alignment horizontal="right" vertical="top" wrapText="1"/>
    </xf>
    <xf numFmtId="0" fontId="19" fillId="0" borderId="0" xfId="0" applyFont="1" applyNumberFormat="1">
      <alignment vertical="top" wrapText="1"/>
    </xf>
    <xf numFmtId="0" fontId="19" fillId="0" borderId="0" xfId="0" applyFont="1" applyNumberFormat="1">
      <alignment horizontal="left" vertical="top" wrapText="1"/>
    </xf>
    <xf numFmtId="0" fontId="24" fillId="0" borderId="0" xfId="0" applyFont="1" applyNumberFormat="1">
      <alignment horizontal="center" vertical="center" wrapText="1"/>
    </xf>
    <xf numFmtId="4"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49" fontId="43" fillId="35" borderId="14" xfId="0" applyFont="1" applyFill="1" applyBorder="1" applyNumberFormat="1">
      <alignment horizontal="left" vertical="center" wrapText="1"/>
      <protection locked="0"/>
    </xf>
    <xf numFmtId="49" fontId="19" fillId="38" borderId="12" xfId="0" applyFont="1" applyFill="1" applyBorder="1" applyNumberFormat="1">
      <alignment horizontal="left" vertical="center" wrapText="1"/>
      <protection locked="0"/>
    </xf>
    <xf numFmtId="0" fontId="34" fillId="0" borderId="0" xfId="0" applyFont="1" applyNumberFormat="1">
      <alignment vertical="top"/>
    </xf>
    <xf numFmtId="49" fontId="19" fillId="0" borderId="31" xfId="0" applyFont="1" applyBorder="1" applyNumberFormat="1">
      <alignment horizontal="center" vertical="center" wrapText="1"/>
    </xf>
    <xf numFmtId="0" fontId="19" fillId="0" borderId="31" xfId="0" applyFont="1" applyBorder="1" applyNumberFormat="1">
      <alignment horizontal="left" vertical="center" wrapText="1"/>
    </xf>
    <xf numFmtId="0" fontId="19" fillId="0" borderId="31" xfId="0" applyFont="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19" fillId="0" borderId="32" xfId="0" applyFont="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0" fontId="19" fillId="0" borderId="31" xfId="0" applyFont="1" applyBorder="1" applyNumberFormat="1">
      <alignment horizontal="left" vertical="center" wrapText="1" indent="2"/>
    </xf>
    <xf numFmtId="0" fontId="36" fillId="0" borderId="0" xfId="0" applyFont="1" applyNumberFormat="1">
      <alignment horizontal="center" vertical="center" wrapText="1"/>
    </xf>
    <xf numFmtId="49" fontId="19" fillId="0" borderId="0" xfId="0" applyFont="1" applyNumberFormat="1">
      <alignment horizontal="left" vertical="center" wrapText="1"/>
    </xf>
    <xf numFmtId="0" fontId="73" fillId="0" borderId="0" xfId="0" applyFont="1" applyNumberFormat="1">
      <alignment vertical="center" wrapText="1"/>
    </xf>
    <xf numFmtId="0" fontId="73" fillId="0" borderId="0" xfId="0" applyFont="1" applyNumberFormat="1">
      <alignment vertical="center" wrapText="1"/>
    </xf>
    <xf numFmtId="0" fontId="19" fillId="0" borderId="0" xfId="0" applyFont="1" applyNumberFormat="1">
      <alignment horizontal="left" vertical="center" wrapText="1"/>
    </xf>
    <xf numFmtId="0" fontId="19" fillId="0" borderId="12" xfId="0" applyFont="1" applyBorder="1" applyNumberFormat="1">
      <alignment horizontal="left" vertical="center" wrapText="1"/>
    </xf>
    <xf numFmtId="3" fontId="19" fillId="0" borderId="14" xfId="0" applyFont="1" applyBorder="1" applyNumberFormat="1">
      <alignment vertical="center" wrapText="1"/>
    </xf>
    <xf numFmtId="0" fontId="19" fillId="0" borderId="13" xfId="0" applyFont="1" applyBorder="1" applyNumberFormat="1">
      <alignment vertical="center" wrapText="1"/>
    </xf>
    <xf numFmtId="4" fontId="19" fillId="35" borderId="14" xfId="0" applyFont="1" applyFill="1" applyBorder="1" applyNumberFormat="1">
      <alignment horizontal="right" vertical="center" wrapText="1"/>
      <protection locked="0"/>
    </xf>
    <xf numFmtId="4" fontId="19" fillId="0" borderId="14" xfId="0" applyFont="1" applyBorder="1" applyNumberFormat="1">
      <alignment horizontal="right" vertical="center" wrapText="1"/>
    </xf>
    <xf numFmtId="4" fontId="19" fillId="0" borderId="30" xfId="0" applyFont="1" applyBorder="1" applyNumberFormat="1">
      <alignment horizontal="right" vertical="center" wrapText="1"/>
    </xf>
    <xf numFmtId="0" fontId="24" fillId="0" borderId="0" xfId="0" applyFont="1" applyNumberFormat="1">
      <alignment horizontal="center" vertical="center" wrapText="1"/>
    </xf>
    <xf numFmtId="0" fontId="19" fillId="0" borderId="14" xfId="0" applyFont="1" applyBorder="1" applyNumberFormat="1">
      <alignment horizontal="center" vertical="center" wrapText="1"/>
    </xf>
    <xf numFmtId="3" fontId="19" fillId="38" borderId="14" xfId="0" applyFont="1" applyFill="1" applyBorder="1" applyNumberFormat="1">
      <alignment vertical="center" wrapText="1"/>
      <protection locked="0"/>
    </xf>
    <xf numFmtId="49" fontId="19" fillId="35" borderId="14" xfId="0" applyFont="1" applyFill="1" applyBorder="1" applyNumberFormat="1">
      <alignment horizontal="left" vertical="center" wrapText="1"/>
      <protection locked="0"/>
    </xf>
    <xf numFmtId="4" fontId="19" fillId="33" borderId="14" xfId="0" applyFont="1" applyFill="1" applyBorder="1" applyNumberFormat="1">
      <alignment horizontal="right" vertical="center" wrapText="1"/>
    </xf>
    <xf numFmtId="0" fontId="19" fillId="0" borderId="0" xfId="0" applyFont="1" applyNumberFormat="1">
      <alignment horizontal="left" vertical="center" wrapText="1"/>
    </xf>
    <xf numFmtId="0" fontId="0" fillId="0" borderId="14" xfId="0" applyFont="1" applyBorder="1" applyNumberFormat="1">
      <alignment horizontal="center" vertical="center"/>
    </xf>
    <xf numFmtId="49" fontId="0" fillId="0" borderId="12" xfId="0" applyFont="1" applyBorder="1" applyNumberFormat="1">
      <alignment horizontal="left" vertical="center" wrapText="1" indent="1"/>
    </xf>
    <xf numFmtId="0" fontId="19" fillId="0" borderId="13" xfId="0" applyFont="1" applyBorder="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19" fillId="36" borderId="19" xfId="0" applyFont="1" applyFill="1" applyBorder="1" applyNumberFormat="1">
      <alignment vertical="center" wrapText="1"/>
    </xf>
    <xf numFmtId="0" fontId="19" fillId="0" borderId="15" xfId="0" applyFont="1" applyBorder="1" applyNumberFormat="1">
      <alignment horizontal="center" vertical="center" wrapText="1"/>
    </xf>
    <xf numFmtId="0" fontId="19" fillId="36" borderId="27" xfId="0" applyFont="1" applyFill="1" applyBorder="1" applyNumberFormat="1">
      <alignment vertical="center" wrapText="1"/>
    </xf>
    <xf numFmtId="49" fontId="19" fillId="38" borderId="14" xfId="0" applyFont="1" applyFill="1" applyBorder="1" applyNumberFormat="1">
      <alignment horizontal="left" vertical="center" wrapText="1"/>
      <protection locked="0"/>
    </xf>
    <xf numFmtId="49" fontId="0" fillId="35" borderId="12" xfId="0" applyFont="1" applyFill="1" applyBorder="1" applyNumberFormat="1">
      <alignment horizontal="left" vertical="center" wrapText="1"/>
      <protection locked="0"/>
    </xf>
    <xf numFmtId="0" fontId="35" fillId="0" borderId="0" xfId="0" applyFont="1" applyNumberFormat="1">
      <alignment horizontal="left" vertical="center" wrapText="1" indent="1"/>
    </xf>
    <xf numFmtId="0" fontId="78" fillId="0" borderId="0" xfId="0" applyFont="1" applyNumberFormat="1">
      <alignment vertical="center" wrapText="1"/>
    </xf>
    <xf numFmtId="0" fontId="78" fillId="34" borderId="0" xfId="0" applyFont="1" applyFill="1" applyNumberFormat="1">
      <alignment horizontal="center" vertical="center" wrapText="1"/>
    </xf>
    <xf numFmtId="0" fontId="78" fillId="34" borderId="0" xfId="0" applyFont="1" applyFill="1" applyNumberFormat="1">
      <alignment horizontal="right" vertical="center" wrapText="1"/>
    </xf>
    <xf numFmtId="0" fontId="19" fillId="0" borderId="12" xfId="0" applyFont="1" applyBorder="1" applyNumberFormat="1">
      <alignment horizontal="center" vertical="center" wrapText="1"/>
    </xf>
    <xf numFmtId="49" fontId="36" fillId="0" borderId="0" xfId="0" applyFont="1" applyNumberFormat="1">
      <alignment horizontal="center" vertical="center" wrapText="1"/>
    </xf>
    <xf numFmtId="0" fontId="19" fillId="0" borderId="12" xfId="0" applyFont="1" applyBorder="1" applyNumberFormat="1">
      <alignment horizontal="center" vertical="center" wrapText="1"/>
    </xf>
    <xf numFmtId="0" fontId="36" fillId="0" borderId="0" xfId="0" applyFont="1" applyNumberFormat="1">
      <alignment horizontal="center" vertical="top"/>
    </xf>
    <xf numFmtId="0" fontId="19" fillId="0" borderId="12" xfId="0" applyFont="1" applyBorder="1" applyNumberFormat="1">
      <alignment horizontal="left" vertical="center" wrapText="1"/>
    </xf>
    <xf numFmtId="0" fontId="37" fillId="0" borderId="0" xfId="0" applyFont="1" applyNumberFormat="1">
      <alignment horizontal="center" vertical="center" wrapText="1"/>
    </xf>
    <xf numFmtId="0" fontId="19" fillId="0" borderId="12" xfId="0" applyFont="1" applyBorder="1" applyNumberFormat="1">
      <alignment horizontal="left" vertical="center" wrapText="1"/>
    </xf>
    <xf numFmtId="49" fontId="19" fillId="39" borderId="12" xfId="0" applyFont="1" applyFill="1" applyBorder="1" applyNumberFormat="1">
      <alignment horizontal="left" vertical="center" wrapText="1" indent="1"/>
    </xf>
    <xf numFmtId="0" fontId="19" fillId="0" borderId="14" xfId="0" applyFont="1" applyBorder="1" applyNumberFormat="1">
      <alignment vertical="center" wrapText="1"/>
    </xf>
    <xf numFmtId="0" fontId="19" fillId="0" borderId="0" xfId="0" applyFont="1" applyNumberFormat="1">
      <alignment horizontal="right" vertical="center"/>
    </xf>
    <xf numFmtId="49" fontId="43" fillId="36" borderId="13" xfId="0" applyFont="1" applyFill="1" applyBorder="1" applyNumberFormat="1">
      <alignment horizontal="left" vertical="center" wrapText="1"/>
    </xf>
    <xf numFmtId="0" fontId="79" fillId="0" borderId="0" xfId="0" applyFont="1" applyNumberFormat="1">
      <alignment vertical="center"/>
    </xf>
    <xf numFmtId="0" fontId="80" fillId="0" borderId="0" xfId="0" applyFont="1" applyNumberFormat="1">
      <alignment vertical="center"/>
    </xf>
    <xf numFmtId="49" fontId="37" fillId="0" borderId="22" xfId="0" applyFont="1" applyBorder="1" applyNumberFormat="1">
      <alignment vertical="top"/>
    </xf>
    <xf numFmtId="49" fontId="37" fillId="0" borderId="22" xfId="0" applyFont="1" applyBorder="1" applyNumberFormat="1">
      <alignment vertical="top"/>
    </xf>
    <xf numFmtId="0" fontId="37" fillId="0" borderId="22" xfId="0" applyFont="1" applyBorder="1" applyNumberFormat="1">
      <alignment vertical="center" wrapText="1"/>
    </xf>
    <xf numFmtId="0" fontId="19" fillId="0" borderId="13" xfId="0" applyFont="1" applyBorder="1" applyNumberFormat="1">
      <alignment horizontal="left" vertical="center" wrapText="1" indent="1"/>
    </xf>
    <xf numFmtId="0" fontId="62" fillId="0" borderId="22" xfId="0" applyFont="1" applyBorder="1" applyNumberFormat="1">
      <alignment vertical="center" wrapText="1"/>
    </xf>
    <xf numFmtId="4" fontId="19" fillId="0" borderId="31" xfId="0" applyFont="1" applyBorder="1" applyNumberFormat="1">
      <alignment horizontal="center" vertical="center" wrapText="1"/>
    </xf>
    <xf numFmtId="0" fontId="19" fillId="0" borderId="33" xfId="0" applyFont="1" applyBorder="1" applyNumberFormat="1">
      <alignment horizontal="left" vertical="center" wrapText="1"/>
    </xf>
    <xf numFmtId="0" fontId="19" fillId="0" borderId="33" xfId="0" applyFont="1" applyBorder="1" applyNumberFormat="1">
      <alignment horizontal="left" vertical="center" wrapText="1" indent="1"/>
    </xf>
    <xf numFmtId="4" fontId="19" fillId="38" borderId="33" xfId="0" applyFont="1" applyFill="1" applyBorder="1" applyNumberFormat="1">
      <alignment horizontal="right" vertical="center" wrapText="1"/>
      <protection locked="0"/>
    </xf>
    <xf numFmtId="4" fontId="19" fillId="0" borderId="33" xfId="0" applyFont="1" applyBorder="1" applyNumberFormat="1">
      <alignment horizontal="center" vertical="center" wrapText="1"/>
    </xf>
    <xf numFmtId="49" fontId="19" fillId="0" borderId="34" xfId="0" applyFont="1" applyBorder="1" applyNumberFormat="1">
      <alignment horizontal="center" vertical="center" wrapText="1"/>
    </xf>
    <xf numFmtId="4" fontId="19" fillId="38" borderId="14" xfId="0" applyFont="1" applyFill="1" applyBorder="1" applyNumberFormat="1">
      <alignment horizontal="right" vertical="center" wrapText="1"/>
      <protection locked="0"/>
    </xf>
    <xf numFmtId="4" fontId="19" fillId="38" borderId="34" xfId="0" applyFont="1" applyFill="1" applyBorder="1" applyNumberFormat="1">
      <alignment horizontal="right" vertical="center" wrapText="1"/>
      <protection locked="0"/>
    </xf>
    <xf numFmtId="0" fontId="36" fillId="0" borderId="0" xfId="0" applyFont="1" applyNumberFormat="1">
      <alignment horizontal="left" vertical="center" wrapText="1"/>
    </xf>
    <xf numFmtId="0" fontId="37" fillId="0" borderId="0" xfId="0" applyFont="1" applyNumberFormat="1">
      <alignment horizontal="left" vertical="center" wrapText="1"/>
    </xf>
    <xf numFmtId="0" fontId="44" fillId="0" borderId="0" xfId="0" applyFont="1" applyNumberFormat="1">
      <alignment horizontal="left" vertical="center" wrapText="1"/>
    </xf>
    <xf numFmtId="0" fontId="20" fillId="0" borderId="0" xfId="0" applyFont="1" applyNumberFormat="1">
      <alignment horizontal="left" vertical="center" wrapText="1"/>
    </xf>
    <xf numFmtId="49" fontId="19" fillId="0" borderId="0" xfId="0" applyFont="1" applyNumberFormat="1">
      <alignment horizontal="center" vertical="center" wrapText="1"/>
    </xf>
    <xf numFmtId="0" fontId="74" fillId="0" borderId="0" xfId="0" applyFont="1" applyNumberFormat="1">
      <alignment vertical="center" wrapText="1"/>
    </xf>
    <xf numFmtId="0" fontId="37" fillId="0" borderId="0" xfId="0" applyFont="1" applyNumberFormat="1">
      <alignment vertical="center" wrapText="1"/>
    </xf>
    <xf numFmtId="0" fontId="44" fillId="0" borderId="0" xfId="0" applyFont="1" applyNumberFormat="1">
      <alignment vertical="center" wrapText="1"/>
    </xf>
    <xf numFmtId="0" fontId="20" fillId="0" borderId="0" xfId="0" applyFont="1" applyNumberFormat="1">
      <alignment vertical="center" wrapText="1"/>
    </xf>
    <xf numFmtId="49" fontId="39" fillId="0" borderId="0" xfId="0" applyFont="1" applyNumberFormat="1">
      <alignment horizontal="center" vertical="center"/>
    </xf>
    <xf numFmtId="0" fontId="19" fillId="0" borderId="0" xfId="0" applyFont="1" applyNumberFormat="1">
      <alignment vertical="center" wrapText="1"/>
    </xf>
    <xf numFmtId="4" fontId="19" fillId="0" borderId="35" xfId="0" applyFont="1" applyBorder="1" applyNumberFormat="1">
      <alignment horizontal="center" vertical="center" wrapText="1"/>
    </xf>
    <xf numFmtId="4" fontId="19" fillId="38" borderId="35" xfId="0" applyFont="1" applyFill="1" applyBorder="1" applyNumberFormat="1">
      <alignment horizontal="right" vertical="center" wrapText="1"/>
      <protection locked="0"/>
    </xf>
    <xf numFmtId="4" fontId="19" fillId="38" borderId="23" xfId="0" applyFont="1" applyFill="1" applyBorder="1" applyNumberFormat="1">
      <alignment horizontal="right" vertical="center" wrapText="1"/>
      <protection locked="0"/>
    </xf>
    <xf numFmtId="49" fontId="19" fillId="0" borderId="33" xfId="0" applyFont="1" applyBorder="1" applyNumberFormat="1">
      <alignment horizontal="center" vertical="center" wrapText="1"/>
    </xf>
    <xf numFmtId="0" fontId="19" fillId="0" borderId="35" xfId="0" applyFont="1" applyBorder="1" applyNumberFormat="1">
      <alignment horizontal="left" vertical="center" wrapText="1"/>
    </xf>
    <xf numFmtId="0" fontId="19" fillId="0" borderId="20" xfId="0" applyFont="1" applyBorder="1" applyNumberFormat="1">
      <alignment vertical="center" wrapText="1"/>
    </xf>
    <xf numFmtId="0" fontId="25" fillId="0" borderId="0" xfId="0" applyFont="1" applyNumberFormat="1">
      <alignment horizontal="center" vertical="center" wrapTex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173" fontId="19" fillId="33" borderId="12" xfId="0" applyFont="1" applyFill="1" applyBorder="1" applyNumberFormat="1">
      <alignment horizontal="right" vertical="center" wrapText="1"/>
    </xf>
    <xf numFmtId="0" fontId="0" fillId="0" borderId="0" xfId="0" applyFont="1" applyNumberFormat="1">
      <alignment vertical="center"/>
    </xf>
    <xf numFmtId="4" fontId="19" fillId="35" borderId="12" xfId="0" applyFont="1" applyFill="1" applyBorder="1" applyNumberFormat="1">
      <alignment horizontal="right" vertical="center" wrapText="1"/>
      <protection locked="0"/>
    </xf>
    <xf numFmtId="0" fontId="60" fillId="34" borderId="0" xfId="0" applyFont="1" applyFill="1" applyNumberFormat="1">
      <alignment horizontal="right" vertical="center"/>
    </xf>
    <xf numFmtId="49" fontId="0" fillId="0" borderId="12" xfId="0" applyFont="1" applyBorder="1" applyNumberFormat="1">
      <alignment vertical="top"/>
    </xf>
    <xf numFmtId="0" fontId="19" fillId="0" borderId="14" xfId="0" applyFont="1" applyBorder="1" applyNumberFormat="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2" borderId="17" xfId="0" applyFont="1" applyFill="1" applyBorder="1" applyNumberFormat="1">
      <alignment vertical="top"/>
    </xf>
    <xf numFmtId="0" fontId="19" fillId="0" borderId="0" xfId="0" applyFont="1" applyNumberFormat="1">
      <alignment vertical="center" wrapText="1"/>
    </xf>
    <xf numFmtId="0" fontId="20" fillId="0" borderId="0" xfId="0" applyFont="1" applyNumberFormat="1">
      <alignment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49" fontId="19" fillId="0" borderId="0" xfId="0" applyFont="1" applyNumberFormat="1">
      <alignment vertical="center" wrapText="1"/>
    </xf>
    <xf numFmtId="0" fontId="19" fillId="0" borderId="0" xfId="0" applyFont="1" applyNumberForma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3"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19" fillId="0" borderId="0" xfId="0" applyFont="1" applyNumberFormat="1">
      <alignment horizontal="center" vertical="center" wrapText="1"/>
    </xf>
    <xf numFmtId="0" fontId="39" fillId="34" borderId="0" xfId="0" applyFont="1" applyFill="1" applyNumberFormat="1">
      <alignment vertical="center" wrapText="1"/>
    </xf>
    <xf numFmtId="0" fontId="43" fillId="0" borderId="0" xfId="0" applyFont="1" applyNumberFormat="1">
      <alignment horizontal="left" vertical="center" indent="1"/>
    </xf>
    <xf numFmtId="0" fontId="0" fillId="34" borderId="0" xfId="0" applyFont="1" applyFill="1" applyNumberFormat="1">
      <alignment horizontal="right" vertical="center" wrapText="1" indent="1"/>
    </xf>
    <xf numFmtId="0" fontId="0" fillId="34" borderId="0" xfId="0" applyFont="1" applyFill="1" applyNumberFormat="1">
      <alignment horizontal="left" vertical="center" wrapText="1" indent="1"/>
    </xf>
    <xf numFmtId="14" fontId="19" fillId="34" borderId="0" xfId="0" applyFont="1" applyFill="1" applyNumberFormat="1">
      <alignment horizontal="center" vertical="center" wrapText="1"/>
    </xf>
    <xf numFmtId="171" fontId="19" fillId="0" borderId="14" xfId="0" applyFont="1" applyBorder="1" applyNumberFormat="1">
      <alignment horizontal="center" vertical="center" wrapText="1"/>
    </xf>
    <xf numFmtId="49" fontId="24" fillId="0" borderId="15" xfId="0" applyFont="1" applyBorder="1" applyNumberFormat="1">
      <alignment horizontal="center" vertical="center" wrapText="1"/>
    </xf>
    <xf numFmtId="49" fontId="19" fillId="0" borderId="0" xfId="0" applyFont="1" applyNumberFormat="1">
      <alignment horizontal="center" vertical="center" wrapText="1"/>
    </xf>
    <xf numFmtId="0" fontId="19" fillId="0" borderId="23" xfId="0" applyFont="1" applyBorder="1" applyNumberFormat="1">
      <alignment horizontal="center" vertical="center" wrapText="1"/>
    </xf>
    <xf numFmtId="49" fontId="0" fillId="44" borderId="12" xfId="0" applyFont="1" applyFill="1" applyBorder="1" applyNumberFormat="1">
      <alignment vertical="top"/>
    </xf>
    <xf numFmtId="0" fontId="25" fillId="0" borderId="0" xfId="0" applyFont="1" applyNumberFormat="1">
      <alignment horizontal="center" vertical="center" wrapText="1"/>
    </xf>
    <xf numFmtId="0" fontId="81" fillId="0" borderId="0" xfId="0" applyFont="1" applyNumberFormat="1">
      <alignment horizontal="left" vertical="center" wrapText="1"/>
    </xf>
    <xf numFmtId="0" fontId="81" fillId="0" borderId="0" xfId="0" applyFont="1" applyNumberFormat="1">
      <alignment horizontal="left" vertical="center" wrapText="1"/>
    </xf>
    <xf numFmtId="14" fontId="81" fillId="34" borderId="0" xfId="0" applyFont="1" applyFill="1" applyNumberFormat="1">
      <alignment horizontal="left" vertical="center" wrapText="1"/>
    </xf>
    <xf numFmtId="14" fontId="82" fillId="0" borderId="0" xfId="0" applyFont="1" applyNumberFormat="1">
      <alignment horizontal="center" vertical="center" wrapText="1"/>
    </xf>
    <xf numFmtId="0" fontId="81" fillId="0" borderId="0" xfId="0" applyFont="1" applyNumberFormat="1">
      <alignment horizontal="left" vertical="center" wrapText="1"/>
    </xf>
    <xf numFmtId="14" fontId="83" fillId="0" borderId="12" xfId="0" applyFont="1" applyBorder="1" applyNumberFormat="1">
      <alignment horizontal="left" vertical="center" wrapText="1"/>
    </xf>
    <xf numFmtId="0" fontId="37" fillId="0" borderId="0" xfId="0" applyFont="1" applyNumberFormat="1">
      <alignment vertical="center"/>
    </xf>
    <xf numFmtId="49" fontId="19" fillId="36" borderId="19" xfId="0" applyFont="1" applyFill="1" applyBorder="1" applyNumberFormat="1">
      <alignment horizontal="center" vertical="center" wrapText="1"/>
    </xf>
    <xf numFmtId="49" fontId="19" fillId="33" borderId="23" xfId="0" applyFont="1" applyFill="1" applyBorder="1" applyNumberFormat="1">
      <alignment horizontal="center" vertical="center" wrapText="1"/>
    </xf>
    <xf numFmtId="49" fontId="36" fillId="0" borderId="12" xfId="0" applyFont="1" applyBorder="1" applyNumberFormat="1">
      <alignment horizontal="left" vertical="center" wrapText="1"/>
    </xf>
    <xf numFmtId="14" fontId="19" fillId="39" borderId="23" xfId="0" applyFont="1" applyFill="1" applyBorder="1" applyNumberFormat="1">
      <alignment horizontal="left" vertical="center" wrapText="1" indent="1"/>
    </xf>
    <xf numFmtId="49" fontId="19" fillId="36" borderId="14" xfId="0" applyFont="1" applyFill="1" applyBorder="1" applyNumberFormat="1">
      <alignment horizontal="right" vertical="center" wrapText="1"/>
    </xf>
    <xf numFmtId="0" fontId="37" fillId="0" borderId="23" xfId="0" applyFont="1" applyBorder="1" applyNumberFormat="1">
      <alignment horizontal="center" vertical="center" wrapText="1"/>
    </xf>
    <xf numFmtId="49" fontId="19" fillId="0" borderId="13" xfId="0" applyFont="1" applyBorder="1" applyNumberFormat="1">
      <alignment horizontal="center" vertical="top"/>
    </xf>
    <xf numFmtId="49" fontId="19" fillId="0" borderId="12" xfId="0" applyFont="1" applyBorder="1" applyNumberFormat="1">
      <alignment horizontal="center" vertical="top"/>
    </xf>
    <xf numFmtId="0" fontId="19" fillId="0" borderId="23" xfId="0" applyFont="1" applyBorder="1" applyNumberFormat="1">
      <alignment horizontal="center" vertical="center" wrapText="1"/>
    </xf>
    <xf numFmtId="49" fontId="19" fillId="0" borderId="14" xfId="0" applyFont="1" applyBorder="1" applyNumberFormat="1">
      <alignment horizontal="center" vertical="top"/>
    </xf>
    <xf numFmtId="0" fontId="24" fillId="0" borderId="24" xfId="0" applyFont="1" applyBorder="1" applyNumberFormat="1">
      <alignment vertical="top" wrapText="1"/>
    </xf>
    <xf numFmtId="0" fontId="24" fillId="0" borderId="0" xfId="0" applyFont="1" applyNumberFormat="1">
      <alignment vertical="top" wrapText="1"/>
    </xf>
    <xf numFmtId="0" fontId="37" fillId="0" borderId="12" xfId="0" applyFont="1" applyBorder="1" applyNumberFormat="1">
      <alignment horizontal="center" vertical="center" wrapText="1"/>
    </xf>
    <xf numFmtId="0" fontId="36" fillId="0" borderId="23" xfId="0" applyFont="1" applyBorder="1" applyNumberFormat="1">
      <alignment horizontal="center" vertical="center" wrapText="1"/>
    </xf>
    <xf numFmtId="0" fontId="37" fillId="0" borderId="12" xfId="0" applyFont="1" applyBorder="1" applyNumberFormat="1">
      <alignment horizontal="center" vertical="center"/>
    </xf>
    <xf numFmtId="0" fontId="19" fillId="0" borderId="12" xfId="0" applyFont="1" applyBorder="1" applyNumberFormat="1">
      <alignment horizontal="center"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0" fontId="36" fillId="0" borderId="22" xfId="0" applyFont="1" applyBorder="1" applyNumberFormat="1">
      <alignment vertical="center"/>
    </xf>
    <xf numFmtId="0" fontId="19" fillId="0" borderId="13" xfId="0" applyFont="1" applyBorder="1" applyNumberFormat="1">
      <alignment horizontal="center" vertical="center" wrapText="1"/>
    </xf>
    <xf numFmtId="49"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indent="1"/>
    </xf>
    <xf numFmtId="3" fontId="19" fillId="35" borderId="14" xfId="0" applyFont="1" applyFill="1" applyBorder="1" applyNumberFormat="1">
      <alignment horizontal="right" vertical="center" wrapText="1"/>
      <protection locked="0"/>
    </xf>
    <xf numFmtId="49" fontId="43" fillId="35" borderId="12" xfId="0" applyFont="1" applyFill="1" applyBorder="1" applyNumberFormat="1">
      <alignment horizontal="left" vertical="center" wrapText="1"/>
      <protection locked="0"/>
    </xf>
    <xf numFmtId="0" fontId="43" fillId="0" borderId="0" xfId="0" applyFont="1" applyNumberFormat="1">
      <alignment vertical="center" wrapText="1"/>
    </xf>
    <xf numFmtId="0" fontId="19" fillId="0" borderId="13" xfId="0" applyFont="1" applyBorder="1" applyNumberFormat="1">
      <alignment horizontal="center" vertical="center" wrapText="1"/>
    </xf>
    <xf numFmtId="0" fontId="19" fillId="0" borderId="12" xfId="0" applyFont="1" applyBorder="1" applyNumberFormat="1">
      <alignment horizontal="center" vertical="center" wrapText="1"/>
    </xf>
    <xf numFmtId="0" fontId="25" fillId="34" borderId="0" xfId="0" applyFont="1" applyFill="1" applyNumberFormat="1">
      <alignment horizontal="center" vertical="center" wrapText="1"/>
    </xf>
    <xf numFmtId="0" fontId="19" fillId="34" borderId="12" xfId="0" applyFont="1" applyFill="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49" fontId="24" fillId="34" borderId="15" xfId="0" applyFont="1" applyFill="1" applyBorder="1" applyNumberFormat="1">
      <alignment horizontal="center" vertical="center" wrapText="1"/>
    </xf>
    <xf numFmtId="0" fontId="19" fillId="0" borderId="0" xfId="0" applyFont="1" applyNumberFormat="1">
      <alignment horizontal="left" vertical="center" wrapText="1" indent="1"/>
    </xf>
    <xf numFmtId="0" fontId="71" fillId="0" borderId="17" xfId="0" applyFont="1" applyBorder="1" applyNumberFormat="1">
      <alignment horizontal="center" vertical="center" wrapText="1"/>
    </xf>
    <xf numFmtId="49" fontId="36" fillId="0" borderId="0" xfId="0" applyFont="1" applyNumberFormat="1">
      <alignment vertical="top"/>
    </xf>
    <xf numFmtId="0" fontId="84" fillId="0" borderId="0" xfId="0" applyFont="1" applyNumberFormat="1">
      <alignment vertical="center" wrapText="1"/>
    </xf>
    <xf numFmtId="0" fontId="0" fillId="0" borderId="0" xfId="0" applyFont="1" applyNumberFormat="1">
      <alignment vertical="top"/>
    </xf>
    <xf numFmtId="49" fontId="0" fillId="0" borderId="12" xfId="0" applyFont="1" applyBorder="1" applyNumberFormat="1">
      <alignment vertical="top"/>
    </xf>
    <xf numFmtId="49" fontId="19" fillId="0" borderId="0" xfId="0" applyFont="1" applyNumberFormat="1">
      <alignment vertical="top"/>
    </xf>
    <xf numFmtId="0" fontId="19" fillId="0" borderId="12" xfId="0" applyFont="1" applyBorder="1" applyNumberFormat="1">
      <alignment horizontal="left" vertical="top" wrapText="1"/>
    </xf>
    <xf numFmtId="49" fontId="85" fillId="0" borderId="0" xfId="0" applyFont="1" applyNumberFormat="1">
      <alignment horizontal="center" vertical="top" wrapText="1"/>
    </xf>
    <xf numFmtId="49" fontId="85" fillId="0" borderId="0" xfId="0" applyFont="1" applyNumberFormat="1">
      <alignment vertical="top" wrapText="1"/>
    </xf>
    <xf numFmtId="49" fontId="81" fillId="40" borderId="12" xfId="0" applyFont="1" applyFill="1" applyBorder="1" applyNumberFormat="1">
      <alignment horizontal="center" vertical="top" wrapText="1"/>
    </xf>
    <xf numFmtId="49" fontId="85" fillId="0" borderId="0" xfId="0" applyFont="1" applyNumberFormat="1">
      <alignment horizontal="left" vertical="top" wrapText="1"/>
    </xf>
    <xf numFmtId="49" fontId="85" fillId="0" borderId="12" xfId="0" applyFont="1" applyBorder="1" applyNumberFormat="1">
      <alignment horizontal="left" vertical="top" wrapText="1"/>
    </xf>
    <xf numFmtId="0" fontId="85" fillId="0" borderId="12" xfId="0" applyFont="1" applyBorder="1" applyNumberFormat="1">
      <alignment horizontal="left" vertical="top" wrapText="1"/>
    </xf>
    <xf numFmtId="0" fontId="85" fillId="40" borderId="12" xfId="0" applyFont="1" applyFill="1" applyBorder="1" applyNumberFormat="1">
      <alignment horizontal="right" vertical="center" wrapText="1"/>
    </xf>
    <xf numFmtId="49" fontId="85" fillId="0" borderId="12" xfId="0" applyFont="1" applyBorder="1" applyNumberFormat="1">
      <alignment vertical="top" wrapText="1"/>
    </xf>
    <xf numFmtId="0" fontId="85" fillId="0" borderId="17" xfId="0" applyFont="1" applyBorder="1" applyNumberFormat="1">
      <alignment horizontal="left" vertical="top" wrapText="1"/>
    </xf>
    <xf numFmtId="0" fontId="85" fillId="0" borderId="13" xfId="0" applyFont="1" applyBorder="1" applyNumberFormat="1">
      <alignment horizontal="left" vertical="top" wrapText="1"/>
    </xf>
    <xf numFmtId="0" fontId="85" fillId="0" borderId="12" xfId="0" applyFont="1" applyBorder="1" applyNumberFormat="1">
      <alignment vertical="top" wrapText="1"/>
    </xf>
    <xf numFmtId="0" fontId="81" fillId="40" borderId="12" xfId="0" applyFont="1" applyFill="1" applyBorder="1" applyNumberFormat="1">
      <alignment horizontal="center" vertical="top" wrapText="1"/>
    </xf>
    <xf numFmtId="0" fontId="85" fillId="0" borderId="0" xfId="0" applyFont="1" applyNumberFormat="1">
      <alignment vertical="top" wrapText="1"/>
    </xf>
    <xf numFmtId="0" fontId="80" fillId="0" borderId="0" xfId="0" applyFont="1" applyNumberFormat="1">
      <alignment vertical="center" wrapText="1"/>
    </xf>
    <xf numFmtId="0" fontId="35" fillId="0" borderId="0" xfId="0" applyFont="1" applyNumberFormat="1">
      <alignment horizontal="left" vertical="center" wrapText="1" indent="3"/>
    </xf>
    <xf numFmtId="3" fontId="0" fillId="0" borderId="13" xfId="0" applyFont="1" applyBorder="1" applyNumberFormat="1">
      <alignment horizontal="right" vertical="center" wrapText="1"/>
    </xf>
    <xf numFmtId="0" fontId="19" fillId="39" borderId="14" xfId="0" applyFont="1" applyFill="1" applyBorder="1" applyNumberFormat="1">
      <alignment horizontal="left" vertical="center" wrapText="1"/>
    </xf>
    <xf numFmtId="49" fontId="24" fillId="34" borderId="12" xfId="0" applyFont="1" applyFill="1" applyBorder="1" applyNumberFormat="1">
      <alignment horizontal="center" vertical="center" wrapText="1"/>
    </xf>
    <xf numFmtId="49" fontId="60" fillId="36" borderId="13" xfId="0" applyFont="1" applyFill="1" applyBorder="1" applyNumberFormat="1">
      <alignment vertical="center"/>
    </xf>
    <xf numFmtId="49" fontId="19" fillId="34" borderId="0" xfId="0" applyFont="1" applyFill="1" applyNumberFormat="1">
      <alignment horizontal="center" vertical="center" wrapText="1"/>
    </xf>
    <xf numFmtId="0" fontId="19" fillId="34" borderId="0" xfId="0" applyFont="1" applyFill="1" applyNumberFormat="1">
      <alignment horizontal="center" vertical="top" wrapText="1"/>
    </xf>
    <xf numFmtId="49" fontId="0" fillId="38"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49" fontId="19" fillId="38" borderId="12" xfId="0" applyFont="1" applyFill="1" applyBorder="1" applyNumberFormat="1" quotePrefix="1">
      <alignment horizontal="left" vertical="center" wrapText="1"/>
      <protection locked="0"/>
    </xf>
    <xf numFmtId="14" fontId="19" fillId="39" borderId="23" xfId="0" applyFont="1" applyFill="1" applyBorder="1" applyNumberFormat="1">
      <alignment horizontal="left" vertical="center" wrapText="1"/>
    </xf>
    <xf numFmtId="0" fontId="37" fillId="34" borderId="23" xfId="0" applyFont="1" applyFill="1" applyBorder="1" applyNumberFormat="1">
      <alignment horizontal="center" vertical="center" wrapText="1"/>
    </xf>
    <xf numFmtId="0" fontId="25" fillId="34" borderId="24" xfId="0" applyFont="1" applyFill="1" applyBorder="1" applyNumberFormat="1">
      <alignment vertical="top" wrapText="1"/>
    </xf>
    <xf numFmtId="0" fontId="25" fillId="34" borderId="0" xfId="0" applyFont="1" applyFill="1" applyNumberFormat="1">
      <alignment vertical="top" wrapText="1"/>
    </xf>
    <xf numFmtId="14" fontId="19" fillId="39" borderId="29" xfId="0" applyFont="1" applyFill="1" applyBorder="1" applyNumberFormat="1">
      <alignment horizontal="left" vertical="center" wrapText="1"/>
    </xf>
    <xf numFmtId="0" fontId="37" fillId="34" borderId="12" xfId="0" applyFont="1" applyFill="1" applyBorder="1" applyNumberFormat="1">
      <alignment horizontal="center" vertical="center" wrapText="1"/>
    </xf>
    <xf numFmtId="0" fontId="29" fillId="36" borderId="15" xfId="0" applyFont="1" applyFill="1" applyBorder="1" applyNumberFormat="1">
      <alignment vertical="center"/>
    </xf>
    <xf numFmtId="0" fontId="38" fillId="0" borderId="0" xfId="0" applyFont="1" applyNumberFormat="1">
      <alignment vertical="center"/>
    </xf>
    <xf numFmtId="0" fontId="37" fillId="0" borderId="0" xfId="0" applyFont="1" applyNumberFormat="1">
      <alignment vertical="center" wrapText="1"/>
    </xf>
    <xf numFmtId="49" fontId="36" fillId="0" borderId="0" xfId="0" applyFont="1" applyNumberFormat="1">
      <alignment vertical="center" wrapText="1"/>
    </xf>
    <xf numFmtId="49" fontId="36" fillId="0" borderId="0" xfId="0" applyFont="1" applyNumberFormat="1">
      <alignment vertical="top"/>
    </xf>
    <xf numFmtId="0" fontId="78" fillId="0" borderId="0" xfId="0" applyFont="1" applyNumberFormat="1">
      <alignment vertical="center" wrapText="1"/>
    </xf>
    <xf numFmtId="0" fontId="86" fillId="0" borderId="0" xfId="0" applyFont="1" applyNumberFormat="1">
      <alignment vertical="center" wrapText="1"/>
    </xf>
    <xf numFmtId="0" fontId="36" fillId="0" borderId="0" xfId="0" applyFont="1" applyNumberFormat="1">
      <alignment vertical="center" wrapText="1"/>
    </xf>
    <xf numFmtId="0" fontId="78" fillId="0" borderId="0" xfId="0" applyFont="1" applyNumberFormat="1">
      <alignment horizontal="center" vertical="center" wrapText="1"/>
    </xf>
    <xf numFmtId="0" fontId="36" fillId="0" borderId="0" xfId="0" applyFont="1" applyNumberFormat="1">
      <alignment vertical="center" wrapText="1"/>
    </xf>
    <xf numFmtId="14" fontId="19" fillId="34"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19" fillId="0" borderId="0" xfId="0" applyFont="1" applyNumberFormat="1">
      <alignment vertical="center" wrapText="1"/>
    </xf>
    <xf numFmtId="0" fontId="0" fillId="0" borderId="12" xfId="0" applyFont="1" applyBorder="1" applyNumberFormat="1">
      <alignment horizontal="left" vertical="center" wrapText="1" indent="1"/>
    </xf>
    <xf numFmtId="49" fontId="0"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0" fillId="38" borderId="14" xfId="0" applyFont="1" applyFill="1" applyBorder="1" applyNumberFormat="1">
      <alignment horizontal="left" vertical="center" wrapText="1" indent="2"/>
      <protection locked="0"/>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87" fillId="34" borderId="0" xfId="0" applyFont="1" applyFill="1" applyNumberFormat="1">
      <alignment horizontal="right" vertical="center"/>
    </xf>
    <xf numFmtId="49" fontId="85" fillId="0" borderId="13" xfId="0" applyFont="1" applyBorder="1" applyNumberFormat="1">
      <alignment horizontal="left" vertical="top" wrapText="1"/>
    </xf>
    <xf numFmtId="49" fontId="85" fillId="0" borderId="14" xfId="0" applyFont="1" applyBorder="1" applyNumberFormat="1">
      <alignment horizontal="left" vertical="top" wrapText="1"/>
    </xf>
    <xf numFmtId="0" fontId="85" fillId="0" borderId="17" xfId="0" applyFont="1" applyBorder="1" applyNumberFormat="1">
      <alignment vertical="top" wrapText="1"/>
    </xf>
    <xf numFmtId="0" fontId="85" fillId="0" borderId="36" xfId="0" applyFont="1" applyBorder="1" applyNumberFormat="1">
      <alignment horizontal="left" vertical="top" wrapText="1"/>
    </xf>
    <xf numFmtId="49" fontId="85" fillId="0" borderId="30" xfId="0" applyFont="1" applyBorder="1" applyNumberFormat="1">
      <alignment horizontal="left" vertical="top"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0" fontId="19" fillId="0" borderId="12" xfId="0" applyFont="1" applyBorder="1" applyNumberFormat="1">
      <alignment horizontal="left" vertical="center" wrapText="1"/>
    </xf>
    <xf numFmtId="49" fontId="85" fillId="0" borderId="12" xfId="0" applyFont="1" applyBorder="1" applyNumberFormat="1">
      <alignment horizontal="center" vertical="top" wrapText="1"/>
    </xf>
    <xf numFmtId="0" fontId="85" fillId="40" borderId="12" xfId="0" applyFont="1" applyFill="1" applyBorder="1" applyNumberFormat="1">
      <alignment horizontal="center" vertical="center" wrapText="1"/>
    </xf>
    <xf numFmtId="49" fontId="85" fillId="0" borderId="37" xfId="0" applyFont="1" applyBorder="1" applyNumberFormat="1">
      <alignment horizontal="center" vertical="top" wrapText="1"/>
    </xf>
    <xf numFmtId="49" fontId="85" fillId="0" borderId="17" xfId="0" applyFont="1" applyBorder="1" applyNumberFormat="1">
      <alignment horizontal="center" vertical="top" wrapText="1"/>
    </xf>
    <xf numFmtId="49" fontId="29" fillId="36" borderId="14" xfId="0" applyFont="1" applyFill="1" applyBorder="1" applyNumberFormat="1">
      <alignment horizontal="left" vertical="center" indent="1"/>
    </xf>
    <xf numFmtId="0" fontId="0" fillId="34" borderId="17"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49" fontId="88" fillId="0" borderId="0" xfId="0" applyFont="1" applyNumberFormat="1">
      <alignment horizontal="center" vertical="center" wrapText="1"/>
    </xf>
    <xf numFmtId="0" fontId="19" fillId="0" borderId="0" xfId="0" applyFont="1" applyNumberFormat="1">
      <alignment vertical="center" wrapText="1"/>
    </xf>
    <xf numFmtId="49" fontId="19" fillId="0" borderId="0" xfId="0" applyFont="1" applyNumberFormat="1">
      <alignment vertical="top"/>
    </xf>
    <xf numFmtId="0" fontId="19" fillId="34" borderId="0" xfId="0" applyFont="1" applyFill="1" applyNumberFormat="1">
      <alignment vertical="center" wrapText="1"/>
    </xf>
    <xf numFmtId="0" fontId="19" fillId="0" borderId="38" xfId="0" applyFont="1" applyBorder="1" applyNumberFormat="1">
      <alignment vertical="center" wrapText="1"/>
    </xf>
    <xf numFmtId="0" fontId="36" fillId="0" borderId="0" xfId="0" applyFont="1" applyNumberFormat="1">
      <alignment vertical="center" wrapText="1"/>
    </xf>
    <xf numFmtId="49" fontId="19" fillId="0" borderId="0" xfId="0" applyFont="1" applyNumberFormat="1">
      <alignment vertical="top"/>
    </xf>
    <xf numFmtId="0" fontId="19" fillId="34" borderId="0" xfId="0" applyFont="1" applyFill="1" applyNumberFormat="1">
      <alignment vertical="center" wrapText="1"/>
    </xf>
    <xf numFmtId="49" fontId="19" fillId="0" borderId="0" xfId="0" applyFont="1" applyNumberFormat="1">
      <alignment vertical="top"/>
    </xf>
    <xf numFmtId="0" fontId="19" fillId="0" borderId="0" xfId="0" applyFont="1" applyNumberFormat="1">
      <alignment vertical="center"/>
    </xf>
    <xf numFmtId="0" fontId="0" fillId="34" borderId="1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19" fillId="36" borderId="29" xfId="0" applyFont="1" applyFill="1" applyBorder="1" applyNumberFormat="1">
      <alignment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39" fillId="34" borderId="39" xfId="0" applyFont="1" applyFill="1" applyBorder="1" applyNumberFormat="1">
      <alignment horizontal="center" wrapText="1"/>
    </xf>
    <xf numFmtId="49" fontId="60" fillId="0" borderId="39" xfId="0" applyFont="1" applyBorder="1" applyNumberFormat="1">
      <alignment vertical="top"/>
    </xf>
    <xf numFmtId="49" fontId="34" fillId="0" borderId="0" xfId="0" applyFont="1" applyNumberFormat="1">
      <alignment vertical="center"/>
    </xf>
    <xf numFmtId="49" fontId="89"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wrapText="1"/>
    </xf>
    <xf numFmtId="49" fontId="89" fillId="0" borderId="0" xfId="0" applyFont="1" applyNumberFormat="1">
      <alignment vertical="center" wrapText="1"/>
    </xf>
    <xf numFmtId="49" fontId="34" fillId="0" borderId="0" xfId="0" applyFont="1" applyNumberFormat="1">
      <alignment vertical="center" wrapText="1"/>
    </xf>
    <xf numFmtId="49" fontId="34" fillId="0" borderId="0" xfId="0" applyFont="1" applyNumberFormat="1">
      <alignment vertical="top"/>
    </xf>
    <xf numFmtId="49" fontId="34" fillId="0" borderId="0" xfId="0" applyFont="1" applyNumberFormat="1">
      <alignment vertical="center" wrapText="1"/>
    </xf>
    <xf numFmtId="49" fontId="34" fillId="0" borderId="0" xfId="0" applyFont="1" applyNumberFormat="1">
      <alignment horizontal="center" vertical="center" wrapText="1"/>
    </xf>
    <xf numFmtId="49" fontId="89" fillId="0" borderId="0" xfId="0" applyFont="1" applyNumberFormat="1">
      <alignment horizontal="center" vertical="center" wrapText="1"/>
    </xf>
    <xf numFmtId="49" fontId="34" fillId="0" borderId="0" xfId="0" applyFont="1" applyNumberFormat="1">
      <alignment horizontal="center" vertical="center" wrapText="1"/>
    </xf>
    <xf numFmtId="49" fontId="89" fillId="0" borderId="0" xfId="0" applyFont="1" applyNumberFormat="1">
      <alignment horizontal="center" vertical="center" wrapText="1"/>
    </xf>
    <xf numFmtId="0" fontId="34" fillId="0" borderId="0" xfId="0" applyFont="1" applyNumberFormat="1">
      <alignment horizontal="center" vertical="center" wrapText="1"/>
    </xf>
    <xf numFmtId="49" fontId="89" fillId="0" borderId="0" xfId="0" applyFont="1" applyNumberFormat="1">
      <alignment vertical="center" wrapText="1"/>
    </xf>
    <xf numFmtId="49" fontId="34" fillId="34" borderId="0" xfId="0" applyFont="1" applyFill="1" applyNumberFormat="1">
      <alignment vertical="center" wrapText="1"/>
    </xf>
    <xf numFmtId="49" fontId="34" fillId="0" borderId="0" xfId="0" applyFont="1" applyNumberFormat="1">
      <alignment vertical="top"/>
    </xf>
    <xf numFmtId="49" fontId="34" fillId="34" borderId="0" xfId="0" applyFont="1" applyFill="1" applyNumberFormat="1">
      <alignment vertical="center"/>
    </xf>
    <xf numFmtId="49" fontId="89" fillId="0" borderId="0" xfId="0" applyFont="1" applyNumberFormat="1">
      <alignment vertical="center"/>
    </xf>
    <xf numFmtId="49" fontId="34" fillId="0" borderId="0" xfId="0" applyFont="1" applyNumberFormat="1">
      <alignment vertical="top"/>
    </xf>
    <xf numFmtId="4" fontId="34" fillId="34" borderId="0" xfId="0" applyFont="1" applyFill="1" applyNumberFormat="1">
      <alignment vertical="center"/>
    </xf>
    <xf numFmtId="3" fontId="34" fillId="35" borderId="12" xfId="0" applyFont="1" applyFill="1" applyBorder="1" applyNumberFormat="1">
      <alignment horizontal="right" vertical="center"/>
      <protection locked="0"/>
    </xf>
    <xf numFmtId="49" fontId="20" fillId="0" borderId="0" xfId="0" applyFont="1" applyNumberFormat="1">
      <alignment horizontal="center" vertical="center" wrapText="1"/>
    </xf>
    <xf numFmtId="49" fontId="19" fillId="0" borderId="0" xfId="0" applyFont="1" applyNumberFormat="1">
      <alignment horizontal="center" vertical="center" wrapText="1"/>
    </xf>
    <xf numFmtId="49" fontId="19" fillId="34" borderId="0" xfId="0" applyFont="1" applyFill="1" applyNumberFormat="1">
      <alignment horizontal="center" vertical="center" wrapText="1"/>
    </xf>
    <xf numFmtId="49" fontId="37" fillId="0" borderId="13" xfId="0" applyFont="1" applyBorder="1" applyNumberFormat="1">
      <alignment horizontal="left" vertical="center" indent="1"/>
    </xf>
    <xf numFmtId="0" fontId="19" fillId="0" borderId="24" xfId="0" applyFont="1" applyBorder="1" applyNumberFormat="1">
      <alignment vertical="top" wrapText="1"/>
    </xf>
    <xf numFmtId="0" fontId="19" fillId="0" borderId="14"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center" vertical="center"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49" fontId="19" fillId="0" borderId="12" xfId="0" applyFont="1" applyBorder="1" applyNumberFormat="1">
      <alignment horizontal="center" vertical="center" wrapText="1"/>
    </xf>
    <xf numFmtId="0" fontId="19" fillId="0" borderId="12" xfId="0" applyFont="1" applyBorder="1" applyNumberFormat="1">
      <alignment horizontal="left" vertical="center" wrapText="1" indent="1"/>
    </xf>
    <xf numFmtId="49" fontId="19" fillId="38" borderId="12" xfId="0" applyFont="1" applyFill="1" applyBorder="1" applyNumberFormat="1">
      <alignment horizontal="left" vertical="center" wrapText="1"/>
      <protection locked="0"/>
    </xf>
    <xf numFmtId="0" fontId="25" fillId="0" borderId="0" xfId="0" applyFont="1" applyNumberFormat="1">
      <alignment horizontal="center" vertical="center" wrapText="1"/>
    </xf>
    <xf numFmtId="49" fontId="81" fillId="0" borderId="12" xfId="0" applyFont="1" applyBorder="1" applyNumberFormat="1">
      <alignment horizontal="center" vertical="center" wrapText="1"/>
    </xf>
    <xf numFmtId="0" fontId="81" fillId="0" borderId="12" xfId="0" applyFont="1" applyBorder="1" applyNumberFormat="1">
      <alignment horizontal="center" vertical="center"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pplyNumberFormat="1">
      <alignment horizontal="center" vertical="center" wrapText="1"/>
    </xf>
    <xf numFmtId="49" fontId="85" fillId="0" borderId="22" xfId="0" applyFont="1" applyBorder="1" applyNumberFormat="1">
      <alignment horizontal="center" vertical="top" wrapText="1"/>
    </xf>
    <xf numFmtId="49" fontId="85" fillId="0" borderId="36" xfId="0" applyFont="1" applyBorder="1" applyNumberFormat="1">
      <alignment horizontal="left" vertical="top" wrapText="1"/>
    </xf>
    <xf numFmtId="0" fontId="81" fillId="0" borderId="12" xfId="0" applyFont="1" applyBorder="1" applyNumberFormat="1">
      <alignment vertical="center" wrapText="1"/>
    </xf>
    <xf numFmtId="0" fontId="81" fillId="0" borderId="17" xfId="0" applyFont="1" applyBorder="1" applyNumberFormat="1">
      <alignment vertical="center" wrapText="1"/>
    </xf>
    <xf numFmtId="0" fontId="81" fillId="0" borderId="23" xfId="0" applyFont="1" applyBorder="1" applyNumberFormat="1">
      <alignment vertical="center" wrapText="1"/>
    </xf>
    <xf numFmtId="49" fontId="81" fillId="0" borderId="12" xfId="0" applyFont="1" applyBorder="1" applyNumberFormat="1">
      <alignment horizontal="left" vertical="top" wrapText="1"/>
    </xf>
    <xf numFmtId="173" fontId="19" fillId="38" borderId="17" xfId="0" applyFont="1" applyFill="1" applyBorder="1" applyNumberFormat="1">
      <alignment horizontal="right" vertical="center" wrapText="1"/>
      <protection locked="0"/>
    </xf>
    <xf numFmtId="0" fontId="19" fillId="0" borderId="13" xfId="0" applyFont="1" applyBorder="1" applyNumberFormat="1">
      <alignment horizontal="center" vertical="center" wrapText="1"/>
    </xf>
    <xf numFmtId="0" fontId="19" fillId="0" borderId="20" xfId="0" applyFont="1" applyBorder="1" applyNumberFormat="1">
      <alignment horizontal="center"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63" fillId="0" borderId="0" xfId="0" applyFont="1" applyNumberFormat="1">
      <alignment horizontal="center" vertical="center" wrapText="1"/>
    </xf>
    <xf numFmtId="4" fontId="19" fillId="38" borderId="13" xfId="0" applyFont="1" applyFill="1" applyBorder="1" applyNumberFormat="1">
      <alignment horizontal="right" vertical="center" wrapText="1"/>
      <protection locked="0"/>
    </xf>
    <xf numFmtId="173" fontId="19" fillId="38" borderId="13" xfId="0" applyFont="1" applyFill="1" applyBorder="1" applyNumberFormat="1">
      <alignment horizontal="right" vertical="center" wrapText="1"/>
      <protection locked="0"/>
    </xf>
    <xf numFmtId="173" fontId="19" fillId="33" borderId="13" xfId="0" applyFont="1" applyFill="1" applyBorder="1" applyNumberFormat="1">
      <alignment horizontal="right" vertical="center" wrapText="1"/>
    </xf>
    <xf numFmtId="4" fontId="19" fillId="38" borderId="29" xfId="0" applyFont="1" applyFill="1" applyBorder="1" applyNumberFormat="1">
      <alignment horizontal="right" vertical="center" wrapText="1"/>
      <protection locked="0"/>
    </xf>
    <xf numFmtId="49" fontId="81" fillId="40" borderId="12" xfId="0" applyFont="1" applyFill="1" applyBorder="1" applyNumberFormat="1">
      <alignment horizontal="center" vertical="top"/>
    </xf>
    <xf numFmtId="49" fontId="85" fillId="0" borderId="0" xfId="0" applyFont="1" applyNumberFormat="1">
      <alignment vertical="top"/>
    </xf>
    <xf numFmtId="49" fontId="81" fillId="0" borderId="12" xfId="0" applyFont="1" applyBorder="1" applyNumberFormat="1">
      <alignment horizontal="center" vertical="top" wrapText="1"/>
    </xf>
    <xf numFmtId="49" fontId="81" fillId="0" borderId="12" xfId="0" applyFont="1" applyBorder="1" applyNumberFormat="1">
      <alignment vertical="top" wrapText="1"/>
    </xf>
    <xf numFmtId="0" fontId="81" fillId="0" borderId="12" xfId="0" applyFont="1" applyBorder="1" applyNumberFormat="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49" fontId="81" fillId="0" borderId="0" xfId="0" applyFont="1" applyNumberFormat="1">
      <alignment horizontal="center" vertical="center" wrapText="1"/>
    </xf>
    <xf numFmtId="49" fontId="81" fillId="0" borderId="0" xfId="0" applyFont="1" applyNumberFormat="1">
      <alignment horizontal="left" vertical="center" wrapText="1"/>
    </xf>
    <xf numFmtId="49" fontId="81" fillId="45" borderId="0" xfId="0" applyFont="1" applyFill="1" applyNumberFormat="1">
      <alignment horizontal="center" vertical="center" wrapText="1"/>
    </xf>
    <xf numFmtId="0" fontId="81" fillId="0" borderId="0" xfId="0" applyFont="1" applyNumberFormat="1">
      <alignment vertical="center" wrapText="1"/>
    </xf>
    <xf numFmtId="0" fontId="37" fillId="0" borderId="12" xfId="0" applyFont="1" applyBorder="1" applyNumberFormat="1">
      <alignment horizontal="left" vertical="center" wrapText="1" indent="3"/>
    </xf>
    <xf numFmtId="49" fontId="37" fillId="0" borderId="12" xfId="0" applyFont="1" applyBorder="1" applyNumberFormat="1">
      <alignment vertical="center" wrapText="1"/>
    </xf>
    <xf numFmtId="0" fontId="37" fillId="0" borderId="17" xfId="0" applyFont="1" applyBorder="1" applyNumberFormat="1">
      <alignment vertical="top" wrapText="1"/>
    </xf>
    <xf numFmtId="0" fontId="37" fillId="0" borderId="36" xfId="0" applyFont="1" applyBorder="1" applyNumberFormat="1">
      <alignment horizontal="left" vertical="center" wrapText="1" indent="1"/>
    </xf>
    <xf numFmtId="0" fontId="37" fillId="0" borderId="36" xfId="0" applyFont="1" applyBorder="1" applyNumberFormat="1">
      <alignment horizontal="center" vertical="center" wrapText="1"/>
    </xf>
    <xf numFmtId="0" fontId="37" fillId="0" borderId="17" xfId="0" applyFont="1" applyBorder="1" applyNumberFormat="1">
      <alignment vertical="center" wrapText="1"/>
    </xf>
    <xf numFmtId="0" fontId="37" fillId="0" borderId="23" xfId="0" applyFont="1" applyBorder="1" applyNumberFormat="1">
      <alignment horizontal="left" vertical="center" wrapText="1" indent="1"/>
    </xf>
    <xf numFmtId="0" fontId="37" fillId="0" borderId="17" xfId="0" applyFont="1" applyBorder="1" applyNumberFormat="1">
      <alignment horizontal="left" vertical="center" wrapText="1" indent="1"/>
    </xf>
    <xf numFmtId="49" fontId="85" fillId="40" borderId="12" xfId="0" applyFont="1" applyFill="1" applyBorder="1" applyNumberFormat="1">
      <alignment horizontal="center" vertical="top" wrapText="1"/>
    </xf>
    <xf numFmtId="49" fontId="85" fillId="40" borderId="12" xfId="0" applyFont="1" applyFill="1" applyBorder="1" applyNumberFormat="1">
      <alignment horizontal="left" vertical="top" wrapText="1"/>
    </xf>
    <xf numFmtId="49" fontId="85" fillId="40" borderId="0" xfId="0" applyFont="1" applyFill="1" applyNumberFormat="1">
      <alignment horizontal="left" vertical="top" wrapText="1"/>
    </xf>
    <xf numFmtId="0" fontId="81" fillId="0" borderId="14" xfId="0" applyFont="1" applyBorder="1" applyNumberFormat="1">
      <alignment horizontal="center" vertical="center" wrapText="1"/>
    </xf>
    <xf numFmtId="0" fontId="19" fillId="0" borderId="23" xfId="0" applyFont="1" applyBorder="1" applyNumberFormat="1">
      <alignment vertical="top" wrapText="1"/>
    </xf>
    <xf numFmtId="0" fontId="19" fillId="0" borderId="23" xfId="0" applyFont="1" applyBorder="1" applyNumberFormat="1">
      <alignment vertical="top" wrapText="1"/>
    </xf>
    <xf numFmtId="0" fontId="81" fillId="0" borderId="14" xfId="0" applyFont="1" applyBorder="1" applyNumberFormat="1">
      <alignment horizontal="center" vertical="center"/>
    </xf>
    <xf numFmtId="49" fontId="37" fillId="34" borderId="12" xfId="0" applyFont="1" applyFill="1" applyBorder="1" applyNumberFormat="1">
      <alignment horizontal="center" vertical="center"/>
    </xf>
    <xf numFmtId="0" fontId="37" fillId="34" borderId="12" xfId="0" applyFont="1" applyFill="1" applyBorder="1" applyNumberFormat="1">
      <alignment horizontal="left" vertical="center" wrapText="1" indent="1"/>
    </xf>
    <xf numFmtId="0" fontId="37" fillId="34" borderId="12" xfId="0" applyFont="1" applyFill="1" applyBorder="1" applyNumberFormat="1">
      <alignment vertical="center" wrapText="1"/>
    </xf>
    <xf numFmtId="49" fontId="37" fillId="0" borderId="12" xfId="0" applyFont="1" applyBorder="1" applyNumberFormat="1">
      <alignment horizontal="center" vertical="center"/>
    </xf>
    <xf numFmtId="0" fontId="37" fillId="0" borderId="12" xfId="0" applyFont="1" applyBorder="1" applyNumberFormat="1">
      <alignment horizontal="left" vertical="center" wrapText="1" inden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0" fontId="37" fillId="0" borderId="12" xfId="0" applyFont="1" applyBorder="1" applyNumberFormat="1">
      <alignment horizontal="center" vertical="center" wrapText="1"/>
    </xf>
    <xf numFmtId="0" fontId="37" fillId="34" borderId="12" xfId="0" applyFont="1" applyFill="1" applyBorder="1" applyNumberFormat="1">
      <alignment horizontal="left" vertical="center" wrapText="1" indent="2"/>
    </xf>
    <xf numFmtId="49" fontId="37" fillId="0" borderId="12" xfId="0" applyFont="1" applyBorder="1" applyNumberFormat="1">
      <alignment horizontal="left" vertical="center" wrapText="1"/>
    </xf>
    <xf numFmtId="49" fontId="37" fillId="0" borderId="12" xfId="0" applyFont="1" applyBorder="1" applyNumberFormat="1">
      <alignment horizontal="left" vertical="center" wrapText="1"/>
    </xf>
    <xf numFmtId="2" fontId="19" fillId="0" borderId="23" xfId="0" applyFont="1" applyBorder="1" applyNumberFormat="1">
      <alignment horizontal="center" vertical="center" wrapText="1"/>
    </xf>
    <xf numFmtId="0" fontId="90" fillId="0" borderId="0" xfId="0" applyFont="1" applyNumberFormat="1">
      <alignment horizontal="center" vertical="center" wrapText="1"/>
    </xf>
    <xf numFmtId="0" fontId="91" fillId="34" borderId="0" xfId="0" applyFont="1" applyFill="1" applyNumberFormat="1">
      <alignment horizontal="right" vertical="center"/>
    </xf>
    <xf numFmtId="0" fontId="19" fillId="0" borderId="23" xfId="0" applyFont="1" applyBorder="1" applyNumberFormat="1">
      <alignment horizontal="left" vertical="center" wrapText="1"/>
    </xf>
    <xf numFmtId="49" fontId="36" fillId="0" borderId="0" xfId="0" applyFont="1" applyNumberFormat="1">
      <alignment horizontal="center" vertical="center" wrapText="1"/>
    </xf>
    <xf numFmtId="0" fontId="37" fillId="0" borderId="27" xfId="0" applyFont="1" applyBorder="1" applyNumberFormat="1">
      <alignment vertical="center" wrapText="1"/>
    </xf>
    <xf numFmtId="49" fontId="43" fillId="0" borderId="14" xfId="0" applyFont="1" applyBorder="1" applyNumberFormat="1">
      <alignment horizontal="left" vertical="center" wrapText="1"/>
    </xf>
    <xf numFmtId="49" fontId="43" fillId="0" borderId="15" xfId="0" applyFont="1" applyBorder="1" applyNumberFormat="1">
      <alignment horizontal="left" vertical="center" wrapText="1"/>
    </xf>
    <xf numFmtId="49" fontId="37" fillId="0" borderId="0" xfId="0" applyFont="1" applyNumberFormat="1">
      <alignment horizontal="center" vertical="center" wrapText="1"/>
    </xf>
    <xf numFmtId="0" fontId="37" fillId="0" borderId="0" xfId="0" applyFont="1" applyNumberFormat="1">
      <alignment horizontal="center" vertical="center" wrapText="1"/>
    </xf>
    <xf numFmtId="4" fontId="19" fillId="0" borderId="17" xfId="0" applyFont="1" applyBorder="1" applyNumberFormat="1">
      <alignment horizontal="center" vertical="center" wrapText="1"/>
    </xf>
    <xf numFmtId="4" fontId="19" fillId="0" borderId="32" xfId="0" applyFont="1" applyBorder="1" applyNumberFormat="1">
      <alignment horizontal="center" vertical="center" wrapText="1"/>
    </xf>
    <xf numFmtId="49" fontId="43" fillId="0" borderId="37" xfId="0" applyFont="1" applyBorder="1" applyNumberFormat="1">
      <alignment horizontal="left" vertical="center" wrapText="1"/>
    </xf>
    <xf numFmtId="49" fontId="43" fillId="0" borderId="30" xfId="0" applyFont="1" applyBorder="1" applyNumberFormat="1">
      <alignment horizontal="left" vertical="center" wrapText="1"/>
    </xf>
    <xf numFmtId="0" fontId="19" fillId="0" borderId="36" xfId="0" applyFont="1" applyBorder="1" applyNumberFormat="1">
      <alignment vertical="center" wrapText="1"/>
    </xf>
    <xf numFmtId="0" fontId="19" fillId="0" borderId="32" xfId="0" applyFont="1" applyBorder="1" applyNumberFormat="1">
      <alignment horizontal="left" vertical="center" wrapText="1"/>
    </xf>
    <xf numFmtId="49" fontId="36" fillId="0" borderId="0" xfId="0" applyFont="1" applyNumberFormat="1">
      <alignment horizontal="center" vertical="center" wrapText="1"/>
    </xf>
    <xf numFmtId="0" fontId="19" fillId="0" borderId="0" xfId="0" applyFont="1" applyNumberFormat="1">
      <alignment vertical="top" wrapText="1"/>
    </xf>
    <xf numFmtId="0" fontId="19" fillId="0" borderId="0" xfId="0" applyFont="1" applyNumberFormat="1">
      <alignment vertical="top"/>
    </xf>
    <xf numFmtId="4" fontId="19" fillId="0" borderId="40" xfId="0" applyFont="1" applyBorder="1" applyNumberFormat="1">
      <alignment horizontal="center" vertical="center" wrapText="1"/>
    </xf>
    <xf numFmtId="0" fontId="37" fillId="0" borderId="0" xfId="0" applyFont="1" applyNumberFormat="1">
      <alignment horizontal="center" vertical="top"/>
    </xf>
    <xf numFmtId="49" fontId="37" fillId="0" borderId="0" xfId="0" applyFont="1" applyNumberFormat="1">
      <alignment vertical="top"/>
    </xf>
    <xf numFmtId="0" fontId="37" fillId="0" borderId="23" xfId="0" applyFont="1" applyBorder="1" applyNumberFormat="1">
      <alignment vertical="center" wrapText="1"/>
    </xf>
    <xf numFmtId="4" fontId="37" fillId="0" borderId="12" xfId="0" applyFont="1" applyBorder="1" applyNumberFormat="1">
      <alignment horizontal="right" vertical="center" wrapText="1"/>
    </xf>
    <xf numFmtId="2" fontId="37" fillId="0" borderId="23" xfId="0" applyFont="1" applyBorder="1" applyNumberFormat="1">
      <alignment horizontal="center" vertical="center" wrapText="1"/>
    </xf>
    <xf numFmtId="0" fontId="37" fillId="0" borderId="12" xfId="0" applyFont="1" applyBorder="1" applyNumberFormat="1">
      <alignment horizontal="left" vertical="center" wrapText="1"/>
    </xf>
    <xf numFmtId="49" fontId="37" fillId="0" borderId="14" xfId="0" applyFont="1" applyBorder="1" applyNumberFormat="1">
      <alignment horizontal="left" vertical="center"/>
    </xf>
    <xf numFmtId="49" fontId="37" fillId="0" borderId="15" xfId="0" applyFont="1" applyBorder="1" applyNumberFormat="1">
      <alignment horizontal="left" vertical="center" indent="1"/>
    </xf>
    <xf numFmtId="49" fontId="37" fillId="0" borderId="15" xfId="0" applyFont="1" applyBorder="1" applyNumberFormat="1">
      <alignment horizontal="left" vertical="center"/>
    </xf>
    <xf numFmtId="0" fontId="37" fillId="0" borderId="12" xfId="0" applyFont="1" applyBorder="1" applyNumberFormat="1">
      <alignment horizontal="left" vertical="center" indent="1"/>
    </xf>
    <xf numFmtId="49" fontId="29" fillId="0" borderId="19" xfId="0" applyFont="1" applyBorder="1" applyNumberFormat="1">
      <alignment horizontal="right" vertical="center"/>
    </xf>
    <xf numFmtId="0" fontId="19" fillId="39" borderId="12" xfId="0" applyFont="1" applyFill="1" applyBorder="1" applyNumberFormat="1">
      <alignment horizontal="left" vertical="center" wrapText="1" inden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0" fontId="51" fillId="34" borderId="0" xfId="0" applyFont="1" applyFill="1" applyNumberFormat="1">
      <alignment horizontal="left" vertical="center" wrapText="1" indent="1"/>
    </xf>
    <xf numFmtId="0" fontId="19" fillId="0" borderId="0" xfId="0" applyFont="1" applyNumberFormat="1">
      <alignment horizontal="left" vertical="center" wrapText="1" indent="1"/>
    </xf>
    <xf numFmtId="49" fontId="43" fillId="35" borderId="13" xfId="0" applyFont="1" applyFill="1" applyBorder="1" applyNumberFormat="1">
      <alignment horizontal="left" vertical="center" wrapText="1"/>
      <protection locked="0"/>
    </xf>
    <xf numFmtId="49" fontId="19" fillId="0" borderId="0" xfId="0" applyFont="1" applyNumberFormat="1">
      <alignment horizontal="center" vertical="center" wrapText="1"/>
    </xf>
    <xf numFmtId="0" fontId="19" fillId="0" borderId="19" xfId="0" applyFont="1" applyBorder="1" applyNumberFormat="1">
      <alignment vertical="center" wrapText="1"/>
    </xf>
    <xf numFmtId="0" fontId="19" fillId="0" borderId="27" xfId="0" applyFont="1" applyBorder="1" applyNumberFormat="1">
      <alignment vertical="center" wrapText="1"/>
    </xf>
    <xf numFmtId="49" fontId="19" fillId="36" borderId="41" xfId="0" applyFont="1" applyFill="1" applyBorder="1" applyNumberFormat="1">
      <alignment horizontal="center" vertical="center" wrapText="1"/>
    </xf>
    <xf numFmtId="49" fontId="39" fillId="36" borderId="42" xfId="0" applyFont="1" applyFill="1" applyBorder="1" applyNumberFormat="1">
      <alignment horizontal="right" vertical="center" wrapText="1"/>
    </xf>
    <xf numFmtId="49" fontId="39" fillId="36" borderId="43" xfId="0" applyFont="1" applyFill="1" applyBorder="1" applyNumberFormat="1">
      <alignment horizontal="right" vertical="center" wrapText="1"/>
    </xf>
    <xf numFmtId="49" fontId="34" fillId="0" borderId="0" xfId="0" applyFont="1" applyNumberFormat="1">
      <alignment vertical="top"/>
    </xf>
    <xf numFmtId="49" fontId="34" fillId="0" borderId="0" xfId="0" applyFont="1" applyNumberFormat="1">
      <alignment vertical="center" wrapText="1"/>
    </xf>
    <xf numFmtId="0" fontId="34" fillId="0" borderId="0" xfId="0" applyFont="1" applyNumberFormat="1">
      <alignment vertical="center" wrapText="1"/>
    </xf>
    <xf numFmtId="49" fontId="84" fillId="0" borderId="0" xfId="0" applyFont="1" applyNumberFormat="1">
      <alignment vertical="center" wrapText="1"/>
    </xf>
    <xf numFmtId="49" fontId="0" fillId="0" borderId="0" xfId="0" applyFont="1" applyNumberFormat="1">
      <alignment vertical="center" wrapText="1"/>
    </xf>
    <xf numFmtId="49" fontId="20" fillId="46" borderId="0" xfId="0" applyFont="1" applyFill="1" applyNumberFormat="1">
      <alignment horizontal="center" vertical="center"/>
    </xf>
    <xf numFmtId="0" fontId="0" fillId="47" borderId="0" xfId="0" applyFont="1" applyFill="1" applyNumberFormat="1">
      <alignment horizontal="left" vertical="center"/>
    </xf>
    <xf numFmtId="0" fontId="0" fillId="48" borderId="12" xfId="0" applyFont="1" applyFill="1" applyBorder="1" applyNumberFormat="1">
      <alignment horizontal="center" vertical="center"/>
    </xf>
    <xf numFmtId="49" fontId="0" fillId="0" borderId="0" xfId="0" applyFont="1" applyNumberFormat="1">
      <alignment vertical="center"/>
    </xf>
    <xf numFmtId="49" fontId="36" fillId="46" borderId="12" xfId="0" applyFont="1" applyFill="1" applyBorder="1" applyNumberFormat="1">
      <alignment horizontal="center" vertical="center"/>
    </xf>
    <xf numFmtId="49" fontId="36"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19" fillId="0" borderId="0" xfId="0" applyFont="1" applyNumberFormat="1">
      <alignment vertical="top"/>
    </xf>
    <xf numFmtId="0" fontId="19"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49" fontId="19" fillId="0" borderId="44" xfId="0" applyFont="1" applyBorder="1" applyNumberFormat="1">
      <alignment vertical="center"/>
    </xf>
    <xf numFmtId="49" fontId="19" fillId="0" borderId="45"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19" fillId="0" borderId="13" xfId="0" applyFont="1" applyBorder="1" applyNumberFormat="1">
      <alignment vertical="center"/>
    </xf>
    <xf numFmtId="49" fontId="19" fillId="0" borderId="12" xfId="0" applyFont="1" applyBorder="1" applyNumberFormat="1">
      <alignment vertical="center"/>
    </xf>
    <xf numFmtId="0" fontId="0" fillId="0" borderId="0" xfId="0" applyFont="1" applyNumberFormat="1">
      <alignment vertical="top"/>
    </xf>
    <xf numFmtId="0" fontId="19" fillId="0" borderId="12" xfId="0" applyFont="1" applyBorder="1" applyNumberFormat="1">
      <alignment vertical="top"/>
    </xf>
    <xf numFmtId="49" fontId="19" fillId="0" borderId="12" xfId="0" applyFont="1" applyBorder="1" applyNumberFormat="1">
      <alignment vertical="top"/>
    </xf>
    <xf numFmtId="49" fontId="0" fillId="0" borderId="0" xfId="0" applyFont="1" applyNumberFormat="1">
      <alignment vertical="top"/>
    </xf>
    <xf numFmtId="0" fontId="19" fillId="0" borderId="0" xfId="0" applyFont="1" applyNumberFormat="1">
      <alignment vertical="center"/>
    </xf>
    <xf numFmtId="49" fontId="19" fillId="0" borderId="14" xfId="0" applyFont="1" applyBorder="1" applyNumberFormat="1">
      <alignment vertical="top"/>
    </xf>
    <xf numFmtId="0" fontId="0" fillId="0" borderId="0" xfId="0" applyFont="1" applyNumberFormat="1">
      <alignment vertical="center"/>
    </xf>
    <xf numFmtId="0" fontId="19" fillId="0" borderId="0" xfId="0" applyFont="1" applyNumberFormat="1">
      <alignment vertical="top"/>
    </xf>
    <xf numFmtId="49" fontId="19"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pplyNumberFormat="1">
      <alignment vertical="top"/>
    </xf>
    <xf numFmtId="0" fontId="19" fillId="0" borderId="17" xfId="0" applyFont="1" applyBorder="1" applyNumberFormat="1">
      <alignment vertical="center"/>
    </xf>
    <xf numFmtId="49" fontId="19" fillId="0" borderId="31" xfId="0" applyFont="1" applyBorder="1" applyNumberFormat="1">
      <alignment horizontal="center" vertical="center"/>
    </xf>
    <xf numFmtId="49" fontId="19" fillId="0" borderId="0" xfId="0" applyFont="1" applyNumberFormat="1">
      <alignment vertical="top"/>
    </xf>
    <xf numFmtId="49" fontId="19"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92" fillId="0" borderId="46" xfId="0" applyFont="1" applyBorder="1" applyNumberFormat="1">
      <alignment horizontal="center" vertical="center"/>
    </xf>
    <xf numFmtId="0" fontId="0" fillId="0" borderId="46" xfId="0" applyFont="1" applyBorder="1" applyNumberFormat="1">
      <alignment horizontal="center" vertical="center"/>
    </xf>
    <xf numFmtId="49" fontId="20" fillId="46" borderId="12" xfId="0" applyFont="1" applyFill="1" applyBorder="1" applyNumberFormat="1">
      <alignment horizontal="right" vertical="center"/>
    </xf>
    <xf numFmtId="49" fontId="19" fillId="35" borderId="37" xfId="0" applyFont="1" applyFill="1" applyBorder="1" applyNumberFormat="1">
      <alignment vertical="top"/>
      <protection locked="0"/>
    </xf>
    <xf numFmtId="0" fontId="19" fillId="0" borderId="12" xfId="0" applyFont="1" applyBorder="1" applyNumberFormat="1">
      <alignment vertical="top"/>
    </xf>
    <xf numFmtId="49" fontId="19" fillId="40" borderId="23" xfId="0" applyFont="1" applyFill="1" applyBorder="1" applyNumberFormat="1">
      <alignment vertical="top"/>
    </xf>
    <xf numFmtId="49" fontId="19" fillId="40" borderId="12" xfId="0" applyFont="1" applyFill="1" applyBorder="1" applyNumberFormat="1">
      <alignment vertical="top"/>
    </xf>
    <xf numFmtId="0" fontId="0" fillId="0" borderId="32" xfId="0" applyFont="1" applyBorder="1" applyNumberFormat="1">
      <alignment horizontal="center" vertical="center"/>
    </xf>
    <xf numFmtId="0" fontId="0" fillId="0" borderId="31" xfId="0" applyFont="1" applyBorder="1" applyNumberFormat="1">
      <alignment horizontal="center" vertical="center"/>
    </xf>
    <xf numFmtId="49" fontId="0" fillId="0" borderId="0" xfId="0" applyFont="1" applyNumberFormat="1">
      <alignment vertical="center"/>
    </xf>
    <xf numFmtId="49" fontId="20" fillId="46" borderId="14" xfId="0" applyFont="1" applyFill="1" applyBorder="1" applyNumberFormat="1">
      <alignment horizontal="right" vertical="center"/>
    </xf>
    <xf numFmtId="49" fontId="19" fillId="0" borderId="0" xfId="0" applyFont="1" applyNumberFormat="1">
      <alignment vertical="center"/>
    </xf>
    <xf numFmtId="0" fontId="0" fillId="47" borderId="0" xfId="0" applyFont="1" applyFill="1" applyNumberFormat="1">
      <alignment horizontal="right" vertical="center"/>
    </xf>
    <xf numFmtId="0" fontId="93" fillId="0" borderId="47" xfId="0" applyFont="1" applyBorder="1" applyNumberFormat="1">
      <alignment horizontal="left" vertical="center" indent="1"/>
    </xf>
    <xf numFmtId="0" fontId="93" fillId="0" borderId="48" xfId="0" applyFont="1" applyBorder="1" applyNumberFormat="1">
      <alignment horizontal="left" vertical="center" indent="1"/>
    </xf>
    <xf numFmtId="0" fontId="93" fillId="0" borderId="49" xfId="0" applyFont="1" applyBorder="1" applyNumberFormat="1">
      <alignment horizontal="left" vertical="center" indent="1"/>
    </xf>
    <xf numFmtId="0" fontId="19" fillId="34" borderId="0" xfId="0" applyFont="1" applyFill="1" applyNumberFormat="1">
      <alignment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49" fontId="88" fillId="0" borderId="0" xfId="0" applyFont="1" applyNumberFormat="1">
      <alignment horizontal="center"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39" fillId="34" borderId="39" xfId="0" applyFont="1" applyFill="1" applyBorder="1" applyNumberFormat="1">
      <alignment horizontal="center" wrapText="1"/>
    </xf>
    <xf numFmtId="49" fontId="60" fillId="0" borderId="39" xfId="0" applyFont="1" applyBorder="1" applyNumberFormat="1">
      <alignment vertical="top"/>
    </xf>
    <xf numFmtId="0" fontId="0" fillId="0" borderId="12" xfId="0" applyFont="1" applyBorder="1" applyNumberFormat="1">
      <alignment horizontal="center" vertical="center" wrapText="1"/>
    </xf>
    <xf numFmtId="0" fontId="19" fillId="0" borderId="0" xfId="0" applyFont="1" applyNumberFormat="1">
      <alignment horizontal="left" vertical="center" wrapText="1" indent="3"/>
    </xf>
    <xf numFmtId="0" fontId="19" fillId="0" borderId="0" xfId="0" applyFont="1" applyNumberFormat="1">
      <alignment horizontal="left" vertical="center" wrapText="1" indent="3"/>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19" fillId="38" borderId="12" xfId="0" applyFont="1" applyFill="1" applyBorder="1" applyNumberFormat="1">
      <alignment horizontal="left" vertical="center" wrapText="1" indent="1"/>
      <protection locked="0"/>
    </xf>
    <xf numFmtId="49" fontId="36" fillId="46" borderId="0" xfId="0" applyFont="1" applyFill="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49" fontId="94" fillId="0" borderId="16" xfId="0" applyFont="1" applyBorder="1" applyNumberFormat="1">
      <alignment vertical="top"/>
    </xf>
    <xf numFmtId="0" fontId="0" fillId="0" borderId="0" xfId="0" applyFont="1" applyNumberFormat="1">
      <alignment vertical="top"/>
    </xf>
    <xf numFmtId="0" fontId="36" fillId="0" borderId="0" xfId="0" applyFont="1" applyNumberFormat="1">
      <alignment vertical="center" wrapText="1"/>
    </xf>
    <xf numFmtId="49" fontId="43" fillId="38" borderId="12" xfId="0" applyFont="1" applyFill="1" applyBorder="1" applyNumberFormat="1">
      <alignment horizontal="left" vertical="center" wrapText="1"/>
      <protection locked="0"/>
    </xf>
    <xf numFmtId="0" fontId="19" fillId="0" borderId="14" xfId="0" applyFont="1" applyBorder="1" applyNumberFormat="1">
      <alignment horizontal="left" vertical="center"/>
    </xf>
    <xf numFmtId="0" fontId="0" fillId="0" borderId="14" xfId="0" applyFont="1" applyBorder="1" applyNumberFormat="1">
      <alignment horizontal="left" vertical="center"/>
    </xf>
    <xf numFmtId="49" fontId="43" fillId="38" borderId="12" xfId="0" applyFont="1" applyFill="1" applyBorder="1" applyNumberFormat="1">
      <alignment horizontal="left" vertical="center" wrapText="1"/>
      <protection locked="0"/>
    </xf>
    <xf numFmtId="0" fontId="19" fillId="34" borderId="26" xfId="0" applyFont="1" applyFill="1" applyBorder="1" applyNumberFormat="1">
      <alignment horizontal="right" vertical="center" wrapText="1" inden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49" fontId="29" fillId="36" borderId="15" xfId="0" applyFont="1" applyFill="1" applyBorder="1" applyNumberFormat="1">
      <alignment horizontal="left" vertical="center" indent="1"/>
    </xf>
    <xf numFmtId="4" fontId="19" fillId="38" borderId="31" xfId="0" applyFont="1" applyFill="1" applyBorder="1" applyNumberFormat="1">
      <alignment horizontal="right" vertical="center" wrapText="1"/>
      <protection locked="0"/>
    </xf>
    <xf numFmtId="0" fontId="19" fillId="34" borderId="0" xfId="0" applyFont="1" applyFill="1" applyNumberFormat="1">
      <alignment vertical="center" wrapText="1"/>
    </xf>
    <xf numFmtId="0" fontId="19" fillId="0" borderId="38" xfId="0" applyFont="1" applyBorder="1" applyNumberFormat="1">
      <alignment vertical="center" wrapText="1"/>
    </xf>
    <xf numFmtId="0" fontId="19" fillId="0" borderId="0" xfId="0" applyFont="1" applyNumberFormat="1">
      <alignment vertical="center"/>
    </xf>
    <xf numFmtId="0" fontId="19" fillId="0" borderId="0" xfId="0" applyFont="1" applyNumberFormat="1">
      <alignment vertical="center" wrapText="1"/>
    </xf>
    <xf numFmtId="0" fontId="19" fillId="36" borderId="50" xfId="0" applyFont="1" applyFill="1" applyBorder="1" applyNumberFormat="1">
      <alignment vertical="center" wrapText="1"/>
    </xf>
    <xf numFmtId="0" fontId="19" fillId="36" borderId="51" xfId="0" applyFont="1" applyFill="1" applyBorder="1" applyNumberFormat="1">
      <alignmen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84" fillId="36" borderId="43" xfId="0" applyFont="1" applyFill="1" applyBorder="1" applyNumberFormat="1">
      <alignment horizontal="center" vertical="center"/>
    </xf>
    <xf numFmtId="49" fontId="95" fillId="36" borderId="43" xfId="0" applyFont="1" applyFill="1" applyBorder="1" applyNumberFormat="1">
      <alignment horizontal="left" vertical="center" indent="1"/>
    </xf>
    <xf numFmtId="0" fontId="34" fillId="39" borderId="12" xfId="0" applyFont="1" applyFill="1" applyBorder="1" applyNumberFormat="1">
      <alignment horizontal="left" vertical="center" wrapText="1" indent="1"/>
    </xf>
    <xf numFmtId="49" fontId="34" fillId="36" borderId="15" xfId="0" applyFont="1" applyFill="1" applyBorder="1" applyNumberFormat="1">
      <alignment vertical="top" wrapText="1"/>
    </xf>
    <xf numFmtId="49" fontId="34" fillId="36" borderId="13" xfId="0" applyFont="1" applyFill="1" applyBorder="1" applyNumberFormat="1">
      <alignment vertical="top" wrapText="1"/>
    </xf>
    <xf numFmtId="49" fontId="34"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0" fontId="19" fillId="36" borderId="53" xfId="0" applyFont="1" applyFill="1" applyBorder="1" applyNumberFormat="1">
      <alignment vertical="center" wrapText="1"/>
    </xf>
    <xf numFmtId="0" fontId="19" fillId="34" borderId="39" xfId="0" applyFont="1" applyFill="1" applyBorder="1" applyNumberFormat="1">
      <alignment vertical="center" wrapText="1"/>
    </xf>
    <xf numFmtId="0" fontId="0" fillId="0" borderId="49" xfId="0" applyFont="1" applyBorder="1" applyNumberFormat="1">
      <alignment horizontal="left" vertical="center" wrapText="1"/>
    </xf>
    <xf numFmtId="0" fontId="19" fillId="0" borderId="49" xfId="0" applyFont="1" applyBorder="1" applyNumberFormat="1">
      <alignment vertical="center" wrapText="1"/>
    </xf>
    <xf numFmtId="0" fontId="19" fillId="0" borderId="54" xfId="0" applyFont="1" applyBorder="1" applyNumberFormat="1">
      <alignment vertical="center" wrapText="1"/>
    </xf>
    <xf numFmtId="0" fontId="19" fillId="0" borderId="55" xfId="0" applyFont="1" applyBorder="1" applyNumberFormat="1">
      <alignment vertical="center" wrapText="1"/>
    </xf>
    <xf numFmtId="0" fontId="19" fillId="39" borderId="12" xfId="0" applyFont="1" applyFill="1" applyBorder="1" applyNumberFormat="1">
      <alignment horizontal="left" vertical="center" wrapText="1" indent="1"/>
    </xf>
    <xf numFmtId="0" fontId="0" fillId="36" borderId="50" xfId="0" applyFont="1" applyFill="1" applyBorder="1" applyNumberFormat="1">
      <alignment horizontal="left" vertical="center"/>
    </xf>
    <xf numFmtId="0" fontId="19" fillId="34" borderId="12" xfId="0" applyFont="1" applyFill="1" applyBorder="1" applyNumberFormat="1">
      <alignment horizontal="center" vertical="center" wrapText="1"/>
    </xf>
    <xf numFmtId="49" fontId="24" fillId="0" borderId="12" xfId="0" applyFont="1" applyBorder="1" applyNumberFormat="1">
      <alignment horizontal="center" vertical="center"/>
    </xf>
    <xf numFmtId="49" fontId="24" fillId="40" borderId="12" xfId="0" applyFont="1" applyFill="1" applyBorder="1" applyNumberFormat="1">
      <alignment horizontal="center" vertical="center"/>
    </xf>
    <xf numFmtId="0" fontId="24" fillId="0" borderId="12" xfId="0" applyFont="1" applyBorder="1" applyNumberFormat="1">
      <alignment horizontal="center" vertical="center"/>
    </xf>
    <xf numFmtId="49" fontId="24" fillId="0" borderId="23" xfId="0" applyFont="1" applyBorder="1" applyNumberFormat="1">
      <alignment horizontal="center" vertical="center"/>
    </xf>
    <xf numFmtId="49" fontId="19" fillId="0" borderId="0" xfId="0" applyFont="1" applyNumberFormat="1">
      <alignment vertical="center"/>
    </xf>
    <xf numFmtId="49" fontId="36" fillId="0" borderId="17" xfId="0" applyFont="1" applyBorder="1" applyNumberFormat="1">
      <alignment horizontal="center" vertical="center"/>
    </xf>
    <xf numFmtId="49" fontId="19" fillId="0" borderId="17" xfId="0" applyFont="1" applyBorder="1" applyNumberFormat="1">
      <alignment horizontal="center" vertical="center"/>
    </xf>
    <xf numFmtId="0" fontId="19" fillId="0" borderId="17" xfId="0" applyFont="1" applyBorder="1" applyNumberFormat="1">
      <alignment horizontal="right" vertical="center"/>
    </xf>
    <xf numFmtId="0" fontId="19" fillId="0" borderId="17" xfId="0" applyFont="1" applyBorder="1" applyNumberFormat="1">
      <alignment horizontal="center" vertical="center"/>
    </xf>
    <xf numFmtId="0" fontId="19" fillId="0" borderId="12" xfId="0" applyFont="1" applyBorder="1" applyNumberFormat="1">
      <alignment horizontal="right" vertical="center"/>
    </xf>
    <xf numFmtId="49" fontId="19" fillId="0" borderId="0" xfId="0" applyFont="1" applyNumberFormat="1">
      <alignment vertical="center"/>
    </xf>
    <xf numFmtId="49" fontId="19" fillId="0" borderId="56" xfId="0" applyFont="1" applyBorder="1" applyNumberFormat="1">
      <alignment horizontal="center" vertical="center"/>
    </xf>
    <xf numFmtId="0" fontId="19" fillId="0" borderId="56" xfId="0" applyFont="1" applyBorder="1" applyNumberFormat="1">
      <alignment horizontal="right" vertical="center"/>
    </xf>
    <xf numFmtId="0" fontId="19" fillId="0" borderId="56" xfId="0" applyFont="1" applyBorder="1" applyNumberFormat="1">
      <alignment horizontal="center" vertical="center"/>
    </xf>
    <xf numFmtId="0" fontId="19" fillId="0" borderId="15" xfId="0" applyFont="1" applyBorder="1" applyNumberFormat="1">
      <alignment horizontal="right" vertical="center"/>
    </xf>
    <xf numFmtId="0" fontId="19" fillId="0" borderId="13" xfId="0" applyFont="1" applyBorder="1" applyNumberFormat="1">
      <alignment horizontal="right" vertical="center"/>
    </xf>
    <xf numFmtId="0" fontId="19" fillId="34" borderId="12" xfId="0" applyFont="1" applyFill="1" applyBorder="1" applyNumberFormat="1">
      <alignment horizontal="center" vertical="center"/>
    </xf>
    <xf numFmtId="0" fontId="19" fillId="39" borderId="12" xfId="0" applyFont="1" applyFill="1" applyBorder="1" applyNumberFormat="1">
      <alignment horizontal="left" vertical="center" wrapText="1" indent="1"/>
    </xf>
    <xf numFmtId="0" fontId="19" fillId="38" borderId="12" xfId="0" applyFont="1" applyFill="1" applyBorder="1" applyNumberFormat="1">
      <alignment horizontal="left" vertical="center" wrapText="1" indent="1"/>
      <protection locked="0"/>
    </xf>
    <xf numFmtId="0" fontId="19" fillId="40" borderId="12" xfId="0" applyFont="1" applyFill="1" applyBorder="1" applyNumberFormat="1">
      <alignment horizontal="right" vertical="center"/>
    </xf>
    <xf numFmtId="3" fontId="19" fillId="35" borderId="12" xfId="0" applyFont="1" applyFill="1" applyBorder="1" applyNumberFormat="1">
      <alignment horizontal="right" vertical="center"/>
      <protection locked="0"/>
    </xf>
    <xf numFmtId="4" fontId="19" fillId="35" borderId="12" xfId="0" applyFont="1" applyFill="1" applyBorder="1" applyNumberFormat="1">
      <alignment horizontal="right" vertical="center"/>
      <protection locked="0"/>
    </xf>
    <xf numFmtId="49" fontId="29" fillId="36" borderId="57"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51" borderId="13" xfId="0" applyFont="1" applyFill="1" applyBorder="1" applyNumberFormat="1">
      <alignment horizontal="left" vertical="center" indent="1"/>
    </xf>
    <xf numFmtId="49" fontId="19" fillId="0" borderId="0" xfId="0" applyFont="1" applyNumberFormat="1">
      <alignment vertical="top"/>
    </xf>
    <xf numFmtId="0" fontId="19" fillId="35" borderId="12" xfId="0" applyFont="1" applyFill="1" applyBorder="1" applyNumberFormat="1">
      <alignment horizontal="left" vertical="center" indent="1"/>
      <protection locked="0"/>
    </xf>
    <xf numFmtId="0" fontId="19" fillId="47" borderId="0" xfId="0" applyFont="1" applyFill="1" applyNumberFormat="1">
      <alignment horizontal="left" vertical="center"/>
    </xf>
    <xf numFmtId="49" fontId="19" fillId="39" borderId="12" xfId="0" applyFont="1" applyFill="1" applyBorder="1" applyNumberFormat="1">
      <alignment horizontal="center" vertical="center" wrapText="1"/>
    </xf>
    <xf numFmtId="49" fontId="19" fillId="0" borderId="0" xfId="0" applyFont="1" applyNumberFormat="1">
      <alignment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right" vertical="center" wrapText="1"/>
    </xf>
    <xf numFmtId="0" fontId="24" fillId="34" borderId="0" xfId="0" applyFont="1" applyFill="1" applyNumberFormat="1">
      <alignment horizontal="center" vertical="center" wrapText="1"/>
    </xf>
    <xf numFmtId="0" fontId="37" fillId="0" borderId="0" xfId="0" applyFont="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25" fillId="34" borderId="0" xfId="0" applyFont="1" applyFill="1" applyNumberFormat="1">
      <alignment horizontal="center"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19" fillId="34" borderId="19" xfId="0" applyFont="1" applyFill="1" applyBorder="1" applyNumberFormat="1">
      <alignment vertical="center" wrapText="1"/>
    </xf>
    <xf numFmtId="49" fontId="37" fillId="0" borderId="0" xfId="0" applyFont="1" applyNumberFormat="1">
      <alignment vertical="top"/>
    </xf>
    <xf numFmtId="0" fontId="37" fillId="0" borderId="39" xfId="0" applyFont="1" applyBorder="1" applyNumberFormat="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3" borderId="12" xfId="0" applyFont="1" applyFill="1" applyBorder="1" applyNumberFormat="1">
      <alignment horizontal="center" vertical="center"/>
    </xf>
    <xf numFmtId="49" fontId="19" fillId="0" borderId="22" xfId="0" applyFont="1" applyBorder="1" applyNumberFormat="1">
      <alignment vertical="top"/>
    </xf>
    <xf numFmtId="0" fontId="19" fillId="0" borderId="22" xfId="0" applyFont="1" applyBorder="1" applyNumberFormat="1">
      <alignment vertical="center" wrapText="1"/>
    </xf>
    <xf numFmtId="4" fontId="0" fillId="35" borderId="12" xfId="0" applyFont="1" applyFill="1" applyBorder="1" applyNumberFormat="1">
      <alignment horizontal="right" vertical="center" wrapText="1"/>
      <protection locked="0"/>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19" fillId="0" borderId="38" xfId="0" applyFont="1" applyBorder="1" applyNumberFormat="1">
      <alignment vertical="center"/>
    </xf>
    <xf numFmtId="49" fontId="29" fillId="36" borderId="15" xfId="0" applyFont="1" applyFill="1" applyBorder="1" applyNumberFormat="1">
      <alignment horizontal="left" vertical="center" indent="1"/>
    </xf>
    <xf numFmtId="49" fontId="19" fillId="38" borderId="17" xfId="0" applyFont="1" applyFill="1" applyBorder="1" applyNumberFormat="1">
      <alignment horizontal="left" vertical="center" wrapText="1" indent="1"/>
      <protection locked="0"/>
    </xf>
    <xf numFmtId="0" fontId="35" fillId="0" borderId="0" xfId="0" applyFont="1" applyNumberFormat="1">
      <alignment vertical="center" wrapText="1"/>
    </xf>
    <xf numFmtId="0" fontId="19" fillId="34" borderId="27" xfId="0" applyFont="1" applyFill="1" applyBorder="1" applyNumberFormat="1">
      <alignment vertical="center" wrapText="1"/>
    </xf>
    <xf numFmtId="0" fontId="37" fillId="34" borderId="19" xfId="0" applyFont="1" applyFill="1" applyBorder="1" applyNumberFormat="1">
      <alignment horizontal="center" vertical="center" wrapText="1"/>
    </xf>
    <xf numFmtId="49" fontId="63" fillId="0" borderId="0" xfId="0" applyFont="1" applyNumberFormat="1">
      <alignment vertical="center" wrapText="1"/>
    </xf>
    <xf numFmtId="0" fontId="96" fillId="34" borderId="0" xfId="0" applyFont="1" applyFill="1" applyNumberFormat="1">
      <alignment vertical="center" wrapText="1"/>
    </xf>
    <xf numFmtId="0" fontId="62" fillId="0" borderId="0" xfId="0" applyFont="1" applyNumberFormat="1">
      <alignment horizontal="left" vertical="center" wrapText="1"/>
    </xf>
    <xf numFmtId="0" fontId="19" fillId="0" borderId="0" xfId="0" applyFont="1" applyNumberFormat="1">
      <alignment vertical="center"/>
    </xf>
    <xf numFmtId="49" fontId="37" fillId="34" borderId="0" xfId="0" applyFont="1" applyFill="1" applyNumberFormat="1">
      <alignment horizontal="center" vertical="center" wrapText="1"/>
    </xf>
    <xf numFmtId="0" fontId="19" fillId="0" borderId="0" xfId="0" applyFont="1" applyNumberFormat="1">
      <alignment horizontal="left" vertical="center" wrapText="1"/>
    </xf>
    <xf numFmtId="0" fontId="37" fillId="0" borderId="0" xfId="0" applyFont="1" applyNumberFormat="1">
      <alignment vertical="center"/>
    </xf>
    <xf numFmtId="0" fontId="19" fillId="0" borderId="0" xfId="0" applyFont="1" applyNumberFormat="1">
      <alignment horizontal="left" vertical="center" wrapText="1" indent="1"/>
    </xf>
    <xf numFmtId="0" fontId="72" fillId="0" borderId="0" xfId="0" applyFont="1" applyNumberFormat="1">
      <alignment vertical="center" wrapText="1"/>
    </xf>
    <xf numFmtId="0" fontId="19" fillId="0" borderId="0" xfId="0" applyFont="1" applyNumberFormat="1">
      <alignment horizontal="right" vertical="top" wrapText="1"/>
    </xf>
    <xf numFmtId="49" fontId="0" fillId="34" borderId="12" xfId="0" applyFont="1" applyFill="1" applyBorder="1" applyNumberFormat="1">
      <alignment horizontal="center" vertical="center" wrapText="1"/>
    </xf>
    <xf numFmtId="4" fontId="0" fillId="34" borderId="14" xfId="0" applyFont="1" applyFill="1" applyBorder="1" applyNumberFormat="1">
      <alignment horizontal="right" vertical="center"/>
    </xf>
    <xf numFmtId="0" fontId="19" fillId="0" borderId="14" xfId="0" applyFont="1" applyBorder="1" applyNumberFormat="1">
      <alignment horizontal="left" vertical="center" wrapText="1" indent="6"/>
    </xf>
    <xf numFmtId="49" fontId="19" fillId="36" borderId="29" xfId="0" applyFont="1" applyFill="1" applyBorder="1" applyNumberFormat="1">
      <alignment horizontal="center" vertical="center" wrapText="1"/>
    </xf>
    <xf numFmtId="0" fontId="37" fillId="0" borderId="0" xfId="0" applyFont="1" applyNumberFormat="1">
      <alignment vertical="top" wrapText="1"/>
    </xf>
    <xf numFmtId="49" fontId="0" fillId="0" borderId="0" xfId="0" applyFont="1" applyNumberFormat="1">
      <alignment vertical="center" wrapText="1"/>
    </xf>
    <xf numFmtId="0" fontId="97" fillId="34" borderId="0" xfId="0" applyFont="1" applyFill="1" applyNumberFormat="1">
      <alignment vertical="center" wrapText="1"/>
    </xf>
    <xf numFmtId="49"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49" fontId="19" fillId="0" borderId="0" xfId="0" applyFont="1" applyNumberFormat="1">
      <alignment horizontal="left" vertical="center"/>
    </xf>
    <xf numFmtId="49" fontId="19" fillId="0" borderId="0" xfId="0" applyFont="1" applyNumberFormat="1">
      <alignment horizontal="left" vertical="top"/>
    </xf>
    <xf numFmtId="172" fontId="19" fillId="35" borderId="12" xfId="0" applyFont="1" applyFill="1" applyBorder="1" applyNumberFormat="1">
      <alignment horizontal="right" vertical="center" wrapText="1"/>
      <protection locked="0"/>
    </xf>
    <xf numFmtId="0" fontId="34" fillId="0" borderId="12" xfId="0" applyFont="1" applyBorder="1" applyNumberFormat="1">
      <alignment vertical="top" wrapText="1"/>
    </xf>
    <xf numFmtId="0" fontId="19" fillId="39" borderId="12" xfId="0" applyFont="1" applyFill="1" applyBorder="1" applyNumberFormat="1">
      <alignment horizontal="left" vertical="center" wrapText="1" indent="6"/>
      <protection locked="0"/>
    </xf>
    <xf numFmtId="0" fontId="19" fillId="0" borderId="0" xfId="0" applyFont="1" applyNumberFormat="1">
      <alignment vertical="center"/>
    </xf>
    <xf numFmtId="0" fontId="98" fillId="0" borderId="0" xfId="0" applyFont="1" applyNumberFormat="1">
      <alignment vertical="center"/>
    </xf>
    <xf numFmtId="0" fontId="98" fillId="0" borderId="0" xfId="0" applyFont="1" applyNumberFormat="1">
      <alignment vertical="center"/>
    </xf>
    <xf numFmtId="0" fontId="19" fillId="0" borderId="0" xfId="0" applyFont="1" applyNumberFormat="1">
      <alignment vertical="center"/>
    </xf>
    <xf numFmtId="0" fontId="19" fillId="0" borderId="0" xfId="0" applyFont="1" applyNumberFormat="1">
      <alignment vertical="center"/>
    </xf>
    <xf numFmtId="0" fontId="98" fillId="0" borderId="0" xfId="0" applyFont="1" applyNumberFormat="1">
      <alignment vertical="center"/>
    </xf>
    <xf numFmtId="0" fontId="19" fillId="0" borderId="0" xfId="0" applyFont="1" applyNumberFormat="1">
      <alignment vertical="center"/>
    </xf>
    <xf numFmtId="0" fontId="19" fillId="0" borderId="0" xfId="0" applyFont="1" applyNumberFormat="1">
      <alignment vertical="center"/>
    </xf>
    <xf numFmtId="0" fontId="19" fillId="0" borderId="0" xfId="0" applyFont="1" applyNumberFormat="1">
      <alignment horizontal="left" vertical="center" indent="1"/>
    </xf>
    <xf numFmtId="49" fontId="19" fillId="0" borderId="0" xfId="0" applyFont="1" applyNumberFormat="1">
      <alignment horizontal="left" vertical="center"/>
    </xf>
    <xf numFmtId="49" fontId="99" fillId="36" borderId="15" xfId="0" applyFont="1" applyFill="1" applyBorder="1" applyNumberFormat="1">
      <alignment horizontal="left" vertical="center" indent="3"/>
    </xf>
    <xf numFmtId="49" fontId="63"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99" fillId="36" borderId="15" xfId="0" applyFont="1" applyFill="1" applyBorder="1" applyNumberFormat="1">
      <alignment horizontal="left" vertical="center"/>
    </xf>
    <xf numFmtId="0" fontId="19" fillId="34" borderId="0" xfId="0" applyFont="1" applyFill="1" applyNumberFormat="1">
      <alignment horizontal="left" vertical="center" wrapText="1"/>
    </xf>
    <xf numFmtId="0" fontId="0" fillId="0" borderId="0" xfId="0" applyFont="1" applyNumberFormat="1">
      <alignment horizontal="left" vertical="center"/>
    </xf>
    <xf numFmtId="49" fontId="70" fillId="34" borderId="19" xfId="0" applyFont="1" applyFill="1" applyBorder="1" applyNumberFormat="1">
      <alignment horizontal="left" vertical="center" wrapText="1"/>
    </xf>
    <xf numFmtId="49" fontId="60" fillId="36" borderId="14" xfId="0" applyFont="1" applyFill="1" applyBorder="1" applyNumberFormat="1">
      <alignment horizontal="left" vertical="center"/>
    </xf>
    <xf numFmtId="49" fontId="91" fillId="36" borderId="14" xfId="0" applyFont="1" applyFill="1" applyBorder="1" applyNumberFormat="1">
      <alignment horizontal="left" vertical="center"/>
    </xf>
    <xf numFmtId="49" fontId="57" fillId="36" borderId="14" xfId="0" applyFont="1" applyFill="1" applyBorder="1" applyNumberFormat="1">
      <alignment horizontal="left" vertical="top"/>
    </xf>
    <xf numFmtId="0" fontId="0" fillId="47" borderId="0" xfId="0" applyFont="1" applyFill="1" applyNumberFormat="1">
      <alignment horizontal="right" vertical="center"/>
    </xf>
    <xf numFmtId="0" fontId="37" fillId="0" borderId="12" xfId="0" applyFont="1" applyBorder="1" applyNumberFormat="1">
      <alignment horizontal="center" vertical="center"/>
    </xf>
    <xf numFmtId="0" fontId="0" fillId="0" borderId="0" xfId="0" applyFont="1" applyNumberFormat="1">
      <alignment vertical="center"/>
    </xf>
    <xf numFmtId="0" fontId="19" fillId="0" borderId="12" xfId="0" applyFont="1" applyBorder="1" applyNumberFormat="1">
      <alignment horizontal="center" vertical="center" wrapText="1"/>
    </xf>
    <xf numFmtId="0" fontId="0" fillId="0" borderId="0" xfId="0" applyFont="1" applyNumberFormat="1">
      <alignment horizontal="left" vertical="top" wrapText="1"/>
    </xf>
    <xf numFmtId="49" fontId="19" fillId="0" borderId="0" xfId="0" applyFont="1" applyNumberFormat="1">
      <alignment vertical="center" wrapText="1"/>
    </xf>
    <xf numFmtId="0" fontId="19" fillId="0" borderId="0" xfId="0" applyFont="1" applyNumberFormat="1">
      <alignment horizontal="right" vertical="center" wrapText="1"/>
    </xf>
    <xf numFmtId="0" fontId="19" fillId="0" borderId="0" xfId="0" applyFont="1" applyNumberFormat="1">
      <alignment horizontal="left" vertical="top" wrapText="1"/>
    </xf>
    <xf numFmtId="0" fontId="70" fillId="34" borderId="19" xfId="0" applyFont="1" applyFill="1" applyBorder="1" applyNumberFormat="1">
      <alignment horizontal="center"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horizontal="left" vertical="center" wrapText="1"/>
    </xf>
    <xf numFmtId="49" fontId="19" fillId="0" borderId="12" xfId="0" applyFont="1" applyBorder="1" applyNumberFormat="1">
      <alignment horizontal="left" vertical="center" wrapText="1"/>
    </xf>
    <xf numFmtId="0" fontId="44" fillId="47" borderId="0" xfId="0" applyFont="1" applyFill="1" applyNumberFormat="1">
      <alignment horizontal="left" vertical="center"/>
    </xf>
    <xf numFmtId="49" fontId="19" fillId="0" borderId="20" xfId="0" applyFont="1" applyBorder="1" applyNumberFormat="1">
      <alignment horizontal="left" vertical="center" wrapText="1"/>
    </xf>
    <xf numFmtId="0" fontId="29" fillId="0" borderId="0" xfId="0" applyFont="1" applyNumberFormat="1">
      <alignment horizontal="left" vertical="center"/>
    </xf>
    <xf numFmtId="0" fontId="29" fillId="0" borderId="24" xfId="0" applyFont="1" applyBorder="1" applyNumberFormat="1">
      <alignment horizontal="left" vertical="center"/>
    </xf>
    <xf numFmtId="0" fontId="29" fillId="0" borderId="30" xfId="0" applyFont="1" applyBorder="1" applyNumberFormat="1">
      <alignment horizontal="left" vertical="center"/>
    </xf>
    <xf numFmtId="0" fontId="29" fillId="0" borderId="27" xfId="0" applyFont="1" applyBorder="1" applyNumberFormat="1">
      <alignment horizontal="left" vertical="center"/>
    </xf>
    <xf numFmtId="0" fontId="0" fillId="0" borderId="27" xfId="0" applyFont="1" applyBorder="1" applyNumberFormat="1">
      <alignment vertical="center"/>
    </xf>
    <xf numFmtId="0" fontId="29" fillId="0" borderId="29" xfId="0" applyFont="1" applyBorder="1" applyNumberFormat="1">
      <alignment horizontal="left" vertical="center"/>
    </xf>
    <xf numFmtId="49" fontId="19" fillId="0" borderId="0" xfId="0" applyFont="1" applyNumberFormat="1">
      <alignmen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34" fillId="0" borderId="17" xfId="0" applyFont="1" applyBorder="1" applyNumberFormat="1">
      <alignment vertical="top" wrapText="1"/>
    </xf>
    <xf numFmtId="0" fontId="0" fillId="0" borderId="0" xfId="0" applyFont="1" applyNumberFormat="1">
      <alignment vertical="center"/>
    </xf>
    <xf numFmtId="0" fontId="19" fillId="34" borderId="12" xfId="0" applyFont="1" applyFill="1" applyBorder="1" applyNumberFormat="1">
      <alignment horizontal="left" vertical="center" wrapText="1"/>
    </xf>
    <xf numFmtId="0" fontId="19" fillId="0" borderId="0" xfId="0" applyFont="1" applyNumberFormat="1">
      <alignment horizontal="center" vertical="center"/>
    </xf>
    <xf numFmtId="49" fontId="19" fillId="0" borderId="0" xfId="0" applyFont="1" applyNumberFormat="1">
      <alignment vertical="center" wrapText="1"/>
    </xf>
    <xf numFmtId="0" fontId="70" fillId="34" borderId="19" xfId="0" applyFont="1" applyFill="1" applyBorder="1" applyNumberFormat="1">
      <alignment horizontal="center" vertical="center" wrapText="1"/>
    </xf>
    <xf numFmtId="0" fontId="0" fillId="0" borderId="12" xfId="0" applyFont="1" applyBorder="1" applyNumberFormat="1">
      <alignment horizontal="center" vertical="center" wrapText="1"/>
    </xf>
    <xf numFmtId="0" fontId="37" fillId="0" borderId="0" xfId="0" applyFont="1" applyNumberFormat="1">
      <alignment horizontal="left" vertical="center" indent="1"/>
    </xf>
    <xf numFmtId="0" fontId="37" fillId="0" borderId="0" xfId="0" applyFont="1" applyNumberFormat="1">
      <alignment horizontal="left" vertical="center" wrapText="1"/>
    </xf>
    <xf numFmtId="49" fontId="37"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7" fillId="0" borderId="19" xfId="0" applyFont="1" applyBorder="1" applyNumberFormat="1">
      <alignment horizontal="left" vertical="center" indent="3"/>
    </xf>
    <xf numFmtId="49" fontId="37" fillId="0" borderId="19" xfId="0" applyFont="1" applyBorder="1" applyNumberFormat="1">
      <alignment horizontal="center" vertical="center" wrapText="1"/>
    </xf>
    <xf numFmtId="49" fontId="37" fillId="0" borderId="0" xfId="0" applyFont="1" applyNumberFormat="1">
      <alignment horizontal="left" vertical="center"/>
    </xf>
    <xf numFmtId="49" fontId="87" fillId="0" borderId="0" xfId="0" applyFont="1" applyNumberFormat="1">
      <alignment horizontal="left" vertical="center"/>
    </xf>
    <xf numFmtId="49" fontId="37" fillId="0" borderId="0" xfId="0" applyFont="1" applyNumberFormat="1">
      <alignment horizontal="left" vertical="center" indent="2"/>
    </xf>
    <xf numFmtId="49" fontId="37" fillId="0" borderId="0" xfId="0" applyFont="1" applyNumberFormat="1">
      <alignment horizontal="center" vertical="center" wrapText="1"/>
    </xf>
    <xf numFmtId="49" fontId="37" fillId="0" borderId="0" xfId="0" applyFont="1" applyNumberFormat="1">
      <alignment horizontal="left" vertical="center" indent="1"/>
    </xf>
    <xf numFmtId="0" fontId="0" fillId="0" borderId="0" xfId="0" applyFont="1" applyNumberFormat="1">
      <alignment vertical="center"/>
    </xf>
    <xf numFmtId="0" fontId="19" fillId="0" borderId="0" xfId="0" applyFont="1" applyNumberFormat="1">
      <alignment horizontal="center" vertical="center" wrapText="1"/>
    </xf>
    <xf numFmtId="49" fontId="19" fillId="0" borderId="0" xfId="0" applyFont="1" applyNumberFormat="1">
      <alignment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left" vertical="top" wrapText="1"/>
    </xf>
    <xf numFmtId="0" fontId="0" fillId="0" borderId="13"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49" fontId="19"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37" fillId="0" borderId="0" xfId="0" applyFont="1" applyNumberFormat="1">
      <alignment horizontal="center" vertical="center"/>
    </xf>
    <xf numFmtId="0" fontId="19" fillId="0" borderId="0" xfId="0" applyFont="1" applyNumberFormat="1">
      <alignment horizontal="right" vertical="center" wrapText="1"/>
    </xf>
    <xf numFmtId="0" fontId="70" fillId="34" borderId="0" xfId="0" applyFont="1" applyFill="1" applyNumberFormat="1">
      <alignment horizontal="center" vertical="center" wrapText="1"/>
    </xf>
    <xf numFmtId="49" fontId="19" fillId="0" borderId="12" xfId="0" applyFont="1" applyBorder="1" applyNumberFormat="1">
      <alignment horizontal="left" vertical="center" wrapText="1"/>
    </xf>
    <xf numFmtId="0" fontId="37" fillId="0" borderId="0" xfId="0" applyFont="1" applyNumberFormat="1">
      <alignment horizontal="left" vertical="center" indent="1"/>
    </xf>
    <xf numFmtId="49" fontId="97" fillId="0" borderId="0" xfId="0" applyFont="1" applyNumberFormat="1">
      <alignment vertical="top"/>
    </xf>
    <xf numFmtId="49" fontId="19" fillId="0" borderId="12" xfId="0" applyFont="1" applyBorder="1" applyNumberFormat="1">
      <alignment vertical="center" wrapText="1"/>
    </xf>
    <xf numFmtId="0" fontId="37" fillId="0" borderId="0" xfId="0" applyFont="1" applyNumberFormat="1">
      <alignment horizontal="center" vertical="center"/>
    </xf>
    <xf numFmtId="0" fontId="19" fillId="39" borderId="12" xfId="0" applyFont="1" applyFill="1" applyBorder="1" applyNumberFormat="1">
      <alignment horizontal="left" vertical="center" wrapText="1" indent="6"/>
    </xf>
    <xf numFmtId="4" fontId="19" fillId="0" borderId="17" xfId="0" applyFont="1" applyBorder="1" applyNumberFormat="1">
      <alignment horizontal="right" vertical="center" wrapText="1"/>
    </xf>
    <xf numFmtId="4" fontId="19" fillId="0" borderId="23" xfId="0" applyFont="1" applyBorder="1" applyNumberFormat="1">
      <alignment horizontal="right" vertical="center" wrapText="1"/>
    </xf>
    <xf numFmtId="0" fontId="0" fillId="0" borderId="0" xfId="0" applyFont="1" applyNumberFormat="1">
      <alignment vertical="center"/>
    </xf>
    <xf numFmtId="49" fontId="19" fillId="0" borderId="0" xfId="0" applyFont="1" applyNumberFormat="1">
      <alignment vertical="center" wrapText="1"/>
    </xf>
    <xf numFmtId="0" fontId="19" fillId="0" borderId="17"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right" vertical="center" wrapText="1"/>
    </xf>
    <xf numFmtId="0" fontId="19" fillId="0" borderId="0" xfId="0" applyFont="1" applyNumberFormat="1">
      <alignment horizontal="center"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horizontal="left" vertical="center" wrapText="1"/>
    </xf>
    <xf numFmtId="49" fontId="19" fillId="0" borderId="12" xfId="0" applyFont="1" applyBorder="1" applyNumberFormat="1">
      <alignment horizontal="left" vertical="center" wrapText="1"/>
    </xf>
    <xf numFmtId="4" fontId="36" fillId="0" borderId="12" xfId="0" applyFont="1" applyBorder="1" applyNumberFormat="1">
      <alignment horizontal="right" vertical="center" wrapText="1"/>
    </xf>
    <xf numFmtId="172" fontId="36" fillId="0" borderId="12" xfId="0" applyFont="1" applyBorder="1" applyNumberFormat="1">
      <alignment horizontal="right" vertical="center" wrapText="1"/>
    </xf>
    <xf numFmtId="49" fontId="36" fillId="0" borderId="0" xfId="0" applyFont="1" applyNumberFormat="1">
      <alignment vertical="center" wrapText="1"/>
    </xf>
    <xf numFmtId="0" fontId="36" fillId="0" borderId="0" xfId="0" applyFont="1" applyNumberFormat="1">
      <alignment horizontal="left" vertical="center" indent="1"/>
    </xf>
    <xf numFmtId="0" fontId="36" fillId="0" borderId="0" xfId="0" applyFont="1" applyNumberFormat="1">
      <alignment horizontal="center" vertical="center"/>
    </xf>
    <xf numFmtId="0" fontId="36" fillId="0" borderId="0" xfId="0" applyFont="1" applyNumberFormat="1">
      <alignment horizontal="left" vertical="center" wrapText="1"/>
    </xf>
    <xf numFmtId="0" fontId="36" fillId="0" borderId="0" xfId="0" applyFont="1" applyNumberFormat="1">
      <alignment vertical="center" wrapText="1"/>
    </xf>
    <xf numFmtId="49" fontId="36" fillId="0" borderId="12" xfId="0" applyFont="1" applyBorder="1" applyNumberFormat="1">
      <alignment vertical="center" wrapText="1"/>
    </xf>
    <xf numFmtId="0" fontId="36" fillId="0" borderId="0" xfId="0" applyFont="1" applyNumberFormat="1">
      <alignment vertical="center"/>
    </xf>
    <xf numFmtId="0" fontId="36" fillId="0" borderId="0" xfId="0" applyFont="1" applyNumberFormat="1">
      <alignment horizontal="center" vertical="center"/>
    </xf>
    <xf numFmtId="0" fontId="36" fillId="0" borderId="0" xfId="0" applyFont="1" applyNumberFormat="1">
      <alignment vertical="center"/>
    </xf>
    <xf numFmtId="0" fontId="59" fillId="0" borderId="0" xfId="0" applyFont="1" applyNumberFormat="1">
      <alignment vertical="center" wrapText="1"/>
    </xf>
    <xf numFmtId="0" fontId="0" fillId="0" borderId="15" xfId="0" applyFont="1" applyBorder="1" applyNumberFormat="1">
      <alignment vertical="center"/>
    </xf>
    <xf numFmtId="0" fontId="37" fillId="0" borderId="12" xfId="0" applyFont="1" applyBorder="1" applyNumberFormat="1">
      <alignment horizontal="center" vertical="center" wrapText="1"/>
    </xf>
    <xf numFmtId="0" fontId="63" fillId="0" borderId="0" xfId="0" applyFont="1" applyNumberFormat="1">
      <alignment horizontal="left" vertical="center" indent="1"/>
    </xf>
    <xf numFmtId="0" fontId="63" fillId="0" borderId="0" xfId="0" applyFont="1" applyNumberFormat="1">
      <alignment horizontal="left" vertical="center" indent="1"/>
    </xf>
    <xf numFmtId="0" fontId="37" fillId="0" borderId="12" xfId="0" applyFont="1" applyBorder="1" applyNumberFormat="1">
      <alignment vertical="center" wrapText="1"/>
    </xf>
    <xf numFmtId="0" fontId="63" fillId="0" borderId="0" xfId="0" applyFont="1" applyNumberFormat="1">
      <alignment horizontal="center" vertical="center"/>
    </xf>
    <xf numFmtId="0" fontId="63" fillId="0" borderId="0" xfId="0" applyFont="1" applyNumberFormat="1">
      <alignment horizontal="left" vertical="center" wrapText="1"/>
    </xf>
    <xf numFmtId="49" fontId="63" fillId="0" borderId="0" xfId="0" applyFont="1" applyNumberFormat="1">
      <alignment horizontal="left" vertical="center"/>
    </xf>
    <xf numFmtId="0" fontId="19" fillId="0" borderId="0" xfId="0" applyFont="1" applyNumberFormat="1">
      <alignment horizontal="center" vertical="center"/>
    </xf>
    <xf numFmtId="0" fontId="63" fillId="0" borderId="0" xfId="0" applyFont="1" applyNumberFormat="1">
      <alignment horizontal="center" vertical="center"/>
    </xf>
    <xf numFmtId="4" fontId="19" fillId="0" borderId="13" xfId="0" applyFont="1" applyBorder="1" applyNumberFormat="1">
      <alignment horizontal="right" vertical="center" wrapText="1"/>
    </xf>
    <xf numFmtId="0" fontId="37" fillId="0" borderId="12" xfId="0" applyFont="1" applyBorder="1" applyNumberFormat="1">
      <alignment horizontal="left" vertical="center" wrapText="1" indent="4"/>
    </xf>
    <xf numFmtId="0" fontId="37" fillId="0" borderId="12" xfId="0" applyFont="1" applyBorder="1" applyNumberFormat="1">
      <alignment horizontal="left" vertical="center" wrapText="1" indent="6"/>
    </xf>
    <xf numFmtId="0" fontId="37" fillId="0" borderId="12" xfId="0" applyFont="1" applyBorder="1" applyNumberFormat="1">
      <alignment vertical="top" wrapText="1"/>
    </xf>
    <xf numFmtId="49" fontId="87" fillId="0" borderId="14" xfId="0" applyFont="1" applyBorder="1" applyNumberFormat="1">
      <alignment horizontal="left" vertical="center"/>
    </xf>
    <xf numFmtId="49" fontId="37" fillId="0" borderId="15" xfId="0" applyFont="1" applyBorder="1" applyNumberFormat="1">
      <alignment horizontal="left" vertical="center" indent="4"/>
    </xf>
    <xf numFmtId="49" fontId="37" fillId="0" borderId="15" xfId="0" applyFont="1" applyBorder="1" applyNumberFormat="1">
      <alignment horizontal="center" vertical="center" wrapText="1"/>
    </xf>
    <xf numFmtId="49" fontId="37" fillId="0" borderId="13" xfId="0" applyFont="1" applyBorder="1" applyNumberFormat="1">
      <alignment horizontal="center" vertical="center" wrapText="1"/>
    </xf>
    <xf numFmtId="4" fontId="19" fillId="0" borderId="36" xfId="0" applyFont="1" applyBorder="1" applyNumberFormat="1">
      <alignment horizontal="right" vertical="center" wrapText="1"/>
    </xf>
    <xf numFmtId="0" fontId="19" fillId="35" borderId="12" xfId="0" applyFont="1" applyFill="1" applyBorder="1" applyNumberFormat="1">
      <alignment horizontal="left" vertical="center" wrapText="1" indent="7"/>
      <protection locked="0"/>
    </xf>
    <xf numFmtId="0" fontId="19" fillId="36" borderId="15" xfId="0" applyFont="1" applyFill="1" applyBorder="1" applyNumberFormat="1">
      <alignment horizontal="left" vertical="center" wrapText="1" indent="6"/>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3" xfId="0" applyFont="1" applyFill="1" applyBorder="1" applyNumberFormat="1">
      <alignment horizontal="right" vertical="center" wrapText="1"/>
    </xf>
    <xf numFmtId="4" fontId="37" fillId="36" borderId="13" xfId="0" applyFont="1" applyFill="1" applyBorder="1" applyNumberFormat="1">
      <alignment horizontal="center" vertical="center" wrapText="1"/>
    </xf>
    <xf numFmtId="172" fontId="19" fillId="36" borderId="13" xfId="0" applyFont="1" applyFill="1" applyBorder="1" applyNumberFormat="1">
      <alignment horizontal="right" vertical="center" wrapText="1"/>
    </xf>
    <xf numFmtId="0" fontId="19" fillId="39" borderId="12" xfId="0" applyFont="1" applyFill="1" applyBorder="1" applyNumberFormat="1">
      <alignment horizontal="left" vertical="center" wrapText="1" indent="1"/>
    </xf>
    <xf numFmtId="0" fontId="37" fillId="0" borderId="12" xfId="0" applyFont="1" applyBorder="1" applyNumberFormat="1">
      <alignment horizontal="left" vertical="center" wrapText="1" indent="5"/>
    </xf>
    <xf numFmtId="49" fontId="63" fillId="0" borderId="24" xfId="0" applyFont="1" applyBorder="1" applyNumberFormat="1">
      <alignment vertical="top"/>
    </xf>
    <xf numFmtId="49" fontId="37" fillId="0" borderId="24" xfId="0" applyFont="1" applyBorder="1" applyNumberFormat="1">
      <alignment vertical="top"/>
    </xf>
    <xf numFmtId="0" fontId="19" fillId="0" borderId="12" xfId="0" applyFont="1" applyBorder="1" applyNumberFormat="1">
      <alignment horizontal="left" vertical="center" wrapText="1" indent="1"/>
    </xf>
    <xf numFmtId="4" fontId="37" fillId="0" borderId="12" xfId="0" applyFont="1" applyBorder="1" applyNumberFormat="1">
      <alignment horizontal="right" vertical="center" wrapText="1"/>
    </xf>
    <xf numFmtId="172" fontId="37" fillId="0" borderId="12" xfId="0" applyFont="1" applyBorder="1" applyNumberFormat="1">
      <alignment horizontal="right" vertical="center" wrapText="1"/>
    </xf>
    <xf numFmtId="172" fontId="19" fillId="35" borderId="14" xfId="0" applyFont="1" applyFill="1" applyBorder="1" applyNumberFormat="1">
      <alignment horizontal="right" vertical="center" wrapText="1"/>
      <protection locked="0"/>
    </xf>
    <xf numFmtId="4" fontId="37" fillId="0" borderId="14" xfId="0" applyFont="1" applyBorder="1" applyNumberFormat="1">
      <alignment horizontal="center" vertical="center" wrapText="1"/>
    </xf>
    <xf numFmtId="4" fontId="19" fillId="35" borderId="13" xfId="0" applyFont="1" applyFill="1" applyBorder="1" applyNumberFormat="1">
      <alignment horizontal="right" vertical="center" wrapText="1"/>
      <protection locked="0"/>
    </xf>
    <xf numFmtId="49" fontId="19" fillId="36" borderId="27" xfId="0" applyFont="1" applyFill="1" applyBorder="1" applyNumberFormat="1">
      <alignment horizontal="center" vertical="center" wrapText="1"/>
    </xf>
    <xf numFmtId="49" fontId="36" fillId="0" borderId="0" xfId="0" applyFont="1" applyNumberFormat="1">
      <alignment vertical="center" wrapText="1"/>
    </xf>
    <xf numFmtId="0" fontId="36" fillId="0" borderId="0" xfId="0" applyFont="1" applyNumberFormat="1">
      <alignment horizontal="center" vertical="center" wrapText="1"/>
    </xf>
    <xf numFmtId="0" fontId="46" fillId="34" borderId="0" xfId="0" applyFont="1" applyFill="1" applyNumberFormat="1">
      <alignment horizontal="center" vertical="center" wrapText="1"/>
    </xf>
    <xf numFmtId="0" fontId="46" fillId="0" borderId="0" xfId="0" applyFont="1" applyNumberFormat="1">
      <alignment vertical="center" wrapText="1"/>
    </xf>
    <xf numFmtId="0" fontId="37" fillId="0" borderId="0" xfId="0" applyFont="1" applyNumberFormat="1">
      <alignment vertical="center"/>
    </xf>
    <xf numFmtId="0" fontId="38" fillId="0" borderId="0" xfId="0" applyFont="1" applyNumberFormat="1">
      <alignment vertical="center"/>
    </xf>
    <xf numFmtId="0" fontId="37" fillId="0" borderId="0" xfId="0" applyFont="1" applyNumberFormat="1">
      <alignment vertical="center"/>
    </xf>
    <xf numFmtId="0" fontId="37" fillId="0" borderId="0" xfId="0" applyFont="1" applyNumberFormat="1">
      <alignment vertical="center"/>
    </xf>
    <xf numFmtId="0" fontId="0" fillId="0" borderId="0" xfId="0" applyFont="1" applyNumberFormat="1">
      <alignment vertical="center"/>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center" vertical="center" wrapText="1"/>
    </xf>
    <xf numFmtId="49"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49" fontId="19" fillId="0" borderId="0" xfId="0" applyFont="1" applyNumberFormat="1">
      <alignment horizontal="center" vertical="top"/>
    </xf>
    <xf numFmtId="49" fontId="20" fillId="0" borderId="0" xfId="0" applyFont="1" applyNumberFormat="1">
      <alignment horizontal="center" vertical="center"/>
    </xf>
    <xf numFmtId="0" fontId="0" fillId="0" borderId="0" xfId="0" applyFont="1" applyNumberFormat="1">
      <alignment horizontal="left" vertical="center"/>
    </xf>
    <xf numFmtId="0" fontId="44" fillId="0" borderId="0" xfId="0" applyFont="1" applyNumberFormat="1">
      <alignment horizontal="left" vertical="center"/>
    </xf>
    <xf numFmtId="49" fontId="0" fillId="0" borderId="0" xfId="0" applyFont="1" applyNumberFormat="1">
      <alignment vertical="center"/>
    </xf>
    <xf numFmtId="0" fontId="0" fillId="0" borderId="0" xfId="0" applyFont="1" applyNumberFormat="1">
      <alignment horizontal="right" vertical="top"/>
    </xf>
    <xf numFmtId="0" fontId="29" fillId="36" borderId="29" xfId="0" applyFont="1" applyFill="1" applyBorder="1" applyNumberFormat="1">
      <alignment horizontal="left" vertical="center"/>
    </xf>
    <xf numFmtId="49" fontId="37" fillId="0" borderId="14" xfId="0" applyFont="1" applyBorder="1" applyNumberFormat="1">
      <alignment horizontal="left" vertical="center" wrapText="1"/>
    </xf>
    <xf numFmtId="0" fontId="37" fillId="0" borderId="14" xfId="0" applyFont="1" applyBorder="1" applyNumberFormat="1">
      <alignment horizontal="left" vertical="center"/>
    </xf>
    <xf numFmtId="0" fontId="37" fillId="0" borderId="15" xfId="0" applyFont="1" applyBorder="1" applyNumberFormat="1">
      <alignment horizontal="left" vertical="center"/>
    </xf>
    <xf numFmtId="49" fontId="19" fillId="35" borderId="12" xfId="0" applyFont="1" applyFill="1" applyBorder="1" applyNumberFormat="1">
      <alignment horizontal="left" vertical="center" wrapText="1" indent="6"/>
      <protection locked="0"/>
    </xf>
    <xf numFmtId="4" fontId="19" fillId="0" borderId="37" xfId="0" applyFont="1" applyBorder="1" applyNumberFormat="1">
      <alignment horizontal="right" vertical="center" wrapText="1"/>
    </xf>
    <xf numFmtId="4" fontId="19"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0" fontId="0" fillId="0" borderId="0" xfId="0" applyFont="1" applyNumberFormat="1">
      <alignment vertical="center"/>
    </xf>
    <xf numFmtId="0" fontId="100" fillId="0" borderId="0" xfId="0" applyFont="1" applyNumberFormat="1">
      <alignment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0" fontId="37" fillId="0" borderId="0" xfId="0" applyFont="1" applyNumberFormat="1">
      <alignment horizontal="center" vertical="center" wrapText="1"/>
    </xf>
    <xf numFmtId="0" fontId="70" fillId="34" borderId="19" xfId="0" applyFont="1" applyFill="1" applyBorder="1" applyNumberFormat="1">
      <alignment horizontal="center" vertical="center" wrapText="1"/>
    </xf>
    <xf numFmtId="0" fontId="19" fillId="0" borderId="17" xfId="0" applyFont="1" applyBorder="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49" fontId="19" fillId="39" borderId="12" xfId="0" applyFont="1" applyFill="1" applyBorder="1" applyNumberFormat="1">
      <alignment horizontal="center" vertical="center" wrapText="1"/>
    </xf>
    <xf numFmtId="49" fontId="37" fillId="0" borderId="12" xfId="0" applyFont="1" applyBorder="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49" fontId="19" fillId="34" borderId="12" xfId="0" applyFont="1" applyFill="1" applyBorder="1" applyNumberFormat="1">
      <alignment horizontal="center" vertical="center" wrapText="1"/>
    </xf>
    <xf numFmtId="0" fontId="37" fillId="0" borderId="0" xfId="0" applyFont="1" applyNumberFormat="1">
      <alignment horizontal="center" vertical="center"/>
    </xf>
    <xf numFmtId="0" fontId="19" fillId="34" borderId="12" xfId="0" applyFont="1" applyFill="1" applyBorder="1" applyNumberFormat="1">
      <alignment horizontal="left" vertical="center" wrapText="1"/>
    </xf>
    <xf numFmtId="49" fontId="19" fillId="38" borderId="12" xfId="0" applyFont="1" applyFill="1" applyBorder="1" applyNumberFormat="1">
      <alignment horizontal="left" vertical="center" wrapText="1" indent="1"/>
      <protection locked="0"/>
    </xf>
    <xf numFmtId="0" fontId="0" fillId="0" borderId="0" xfId="0" applyFont="1" applyNumberFormat="1">
      <alignment vertical="center"/>
    </xf>
    <xf numFmtId="0" fontId="19" fillId="0" borderId="0" xfId="0" applyFont="1" applyNumberFormat="1">
      <alignment horizontal="center" vertical="center" wrapText="1"/>
    </xf>
    <xf numFmtId="49" fontId="19" fillId="39" borderId="12" xfId="0" applyFont="1" applyFill="1" applyBorder="1" applyNumberFormat="1">
      <alignment horizontal="center"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vertical="center" wrapText="1"/>
    </xf>
    <xf numFmtId="49" fontId="19" fillId="34" borderId="12" xfId="0" applyFont="1" applyFill="1" applyBorder="1" applyNumberFormat="1">
      <alignment horizontal="center" vertical="center" wrapText="1"/>
    </xf>
    <xf numFmtId="0" fontId="37" fillId="34" borderId="0" xfId="0" applyFont="1" applyFill="1" applyNumberFormat="1">
      <alignment horizontal="center" vertical="center" wrapText="1"/>
    </xf>
    <xf numFmtId="0" fontId="0" fillId="34" borderId="1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0" fontId="37" fillId="0" borderId="0" xfId="0" applyFont="1" applyNumberFormat="1">
      <alignment horizontal="center" vertical="center" wrapText="1"/>
    </xf>
    <xf numFmtId="0" fontId="70" fillId="34" borderId="19" xfId="0" applyFont="1" applyFill="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49" fontId="19" fillId="34" borderId="12" xfId="0" applyFont="1" applyFill="1" applyBorder="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19" fillId="39" borderId="12" xfId="0" applyFont="1" applyFill="1" applyBorder="1" applyNumberFormat="1">
      <alignment horizontal="left" vertical="center" wrapText="1"/>
    </xf>
    <xf numFmtId="49" fontId="19" fillId="38" borderId="12" xfId="0" applyFont="1" applyFill="1" applyBorder="1" applyNumberFormat="1">
      <alignment horizontal="left" vertical="center" wrapText="1" indent="1"/>
      <protection locked="0"/>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0" fontId="25" fillId="0" borderId="0" xfId="0" applyFont="1" applyNumberFormat="1">
      <alignment horizontal="center" vertical="center" wrapText="1"/>
    </xf>
    <xf numFmtId="172" fontId="19" fillId="36" borderId="15" xfId="0" applyFont="1" applyFill="1" applyBorder="1" applyNumberFormat="1">
      <alignment horizontal="right" vertical="center" wrapText="1"/>
    </xf>
    <xf numFmtId="0" fontId="101" fillId="0" borderId="0" xfId="0" applyFont="1" applyNumberFormat="1">
      <alignment vertical="center" wrapText="1"/>
    </xf>
    <xf numFmtId="0" fontId="101" fillId="34" borderId="0" xfId="0" applyFont="1" applyFill="1" applyNumberFormat="1">
      <alignment horizontal="center" vertical="center" wrapText="1"/>
    </xf>
    <xf numFmtId="0" fontId="37" fillId="34" borderId="12" xfId="0" applyFont="1" applyFill="1" applyBorder="1" applyNumberFormat="1">
      <alignment horizontal="left" vertical="center" wrapText="1" indent="3"/>
    </xf>
    <xf numFmtId="49" fontId="29" fillId="36" borderId="27" xfId="0" applyFont="1" applyFill="1" applyBorder="1" applyNumberFormat="1">
      <alignment horizontal="left" vertical="center"/>
    </xf>
    <xf numFmtId="0" fontId="101" fillId="0" borderId="0" xfId="0" applyFont="1" applyNumberFormat="1">
      <alignment horizontal="center" vertical="center" wrapText="1"/>
    </xf>
    <xf numFmtId="49" fontId="37" fillId="0" borderId="0" xfId="0" applyFont="1" applyNumberFormat="1">
      <alignment horizontal="left" vertical="center" wrapText="1" indent="1"/>
    </xf>
    <xf numFmtId="0" fontId="37" fillId="0" borderId="0" xfId="0" applyFont="1" applyNumberFormat="1">
      <alignment horizontal="left" vertical="center" wrapText="1" indent="4"/>
    </xf>
    <xf numFmtId="0" fontId="37" fillId="0" borderId="0" xfId="0" applyFont="1" applyNumberFormat="1">
      <alignment horizontal="left" vertical="center" wrapText="1" indent="1"/>
    </xf>
    <xf numFmtId="49" fontId="19" fillId="36" borderId="14" xfId="0" applyFont="1" applyFill="1" applyBorder="1" applyNumberFormat="1">
      <alignment horizontal="center" vertical="center" wrapText="1"/>
    </xf>
    <xf numFmtId="0" fontId="37" fillId="0" borderId="24" xfId="0" applyFont="1" applyBorder="1" applyNumberFormat="1">
      <alignment horizontal="left" vertical="center" wrapText="1" indent="1"/>
    </xf>
    <xf numFmtId="0" fontId="36" fillId="0" borderId="0" xfId="0" applyFont="1" applyNumberFormat="1">
      <alignment horizontal="left" vertical="center"/>
    </xf>
    <xf numFmtId="49" fontId="36" fillId="0" borderId="0" xfId="0" applyFont="1" applyNumberFormat="1">
      <alignment horizontal="left" vertical="center"/>
    </xf>
    <xf numFmtId="0" fontId="36" fillId="0" borderId="0" xfId="0" applyFont="1" applyNumberFormat="1">
      <alignment horizontal="left" vertical="center"/>
    </xf>
    <xf numFmtId="0" fontId="59" fillId="0" borderId="0" xfId="0" applyFont="1" applyNumberFormat="1">
      <alignment horizontal="left" vertical="center"/>
    </xf>
    <xf numFmtId="0" fontId="37" fillId="0" borderId="0" xfId="0" applyFont="1" applyNumberFormat="1">
      <alignment horizontal="left" vertical="center"/>
    </xf>
    <xf numFmtId="49" fontId="19" fillId="0" borderId="0" xfId="0" applyFont="1" applyNumberFormat="1">
      <alignment horizontal="center" vertical="center" wrapText="1"/>
    </xf>
    <xf numFmtId="49" fontId="19" fillId="0" borderId="19" xfId="0" applyFont="1" applyBorder="1" applyNumberFormat="1">
      <alignment horizontal="center" vertical="center" wrapText="1"/>
    </xf>
    <xf numFmtId="49" fontId="19" fillId="0" borderId="19" xfId="0" applyFont="1" applyBorder="1" applyNumberFormat="1">
      <alignment horizontal="left" vertical="center" wrapText="1"/>
    </xf>
    <xf numFmtId="0" fontId="25" fillId="0" borderId="0" xfId="0" applyFont="1" applyNumberFormat="1">
      <alignment horizontal="center" vertical="center" wrapText="1"/>
    </xf>
    <xf numFmtId="0" fontId="25" fillId="34" borderId="0" xfId="0" applyFont="1" applyFill="1" applyNumberFormat="1">
      <alignment horizontal="center" vertical="center" wrapText="1"/>
    </xf>
    <xf numFmtId="49" fontId="36" fillId="0" borderId="0" xfId="0" applyFont="1" applyNumberFormat="1">
      <alignment horizontal="left" vertical="center"/>
    </xf>
    <xf numFmtId="49" fontId="36" fillId="0" borderId="0" xfId="0" applyFont="1" applyNumberFormat="1">
      <alignment horizontal="left" vertical="center"/>
    </xf>
    <xf numFmtId="49" fontId="36" fillId="0" borderId="0" xfId="0" applyFont="1" applyNumberFormat="1">
      <alignment horizontal="left" vertical="top"/>
    </xf>
    <xf numFmtId="49" fontId="19" fillId="34" borderId="12" xfId="0" applyFont="1" applyFill="1" applyBorder="1" applyNumberFormat="1">
      <alignment horizontal="center" vertical="center"/>
    </xf>
    <xf numFmtId="0" fontId="19" fillId="0" borderId="12" xfId="0" applyFont="1" applyBorder="1" applyNumberFormat="1">
      <alignment horizontal="center" vertical="center" wrapText="1"/>
    </xf>
    <xf numFmtId="0" fontId="19" fillId="34" borderId="12" xfId="0" applyFont="1" applyFill="1" applyBorder="1" applyNumberFormat="1">
      <alignment horizontal="left" vertical="center" wrapText="1" indent="1"/>
    </xf>
    <xf numFmtId="49" fontId="19" fillId="0" borderId="12" xfId="0" applyFont="1" applyBorder="1" applyNumberFormat="1">
      <alignment horizontal="center" vertical="center"/>
    </xf>
    <xf numFmtId="0" fontId="19" fillId="0" borderId="12" xfId="0" applyFont="1" applyBorder="1" applyNumberFormat="1">
      <alignment horizontal="left" vertical="center" wrapText="1" indent="1"/>
    </xf>
    <xf numFmtId="0" fontId="19" fillId="0" borderId="12" xfId="0" applyFont="1" applyBorder="1" applyNumberFormat="1">
      <alignment vertical="center" wrapText="1"/>
    </xf>
    <xf numFmtId="49" fontId="19" fillId="38" borderId="12" xfId="0" applyFont="1" applyFill="1" applyBorder="1" applyNumberFormat="1">
      <alignment horizontal="left" vertical="center" wrapText="1"/>
      <protection locked="0"/>
    </xf>
    <xf numFmtId="0" fontId="19" fillId="34" borderId="12" xfId="0" applyFont="1" applyFill="1" applyBorder="1" applyNumberFormat="1">
      <alignment horizontal="left" vertical="center" wrapText="1"/>
    </xf>
    <xf numFmtId="0" fontId="37" fillId="34" borderId="12" xfId="0" applyFont="1" applyFill="1" applyBorder="1" applyNumberFormat="1">
      <alignment horizontal="center" vertical="center"/>
    </xf>
    <xf numFmtId="0" fontId="63" fillId="34" borderId="0" xfId="0" applyFont="1" applyFill="1" applyNumberFormat="1">
      <alignment vertical="center" wrapText="1"/>
    </xf>
    <xf numFmtId="0" fontId="57" fillId="34" borderId="0" xfId="0" applyFont="1" applyFill="1" applyNumberFormat="1"/>
    <xf numFmtId="49" fontId="19" fillId="35" borderId="12" xfId="0" applyFont="1" applyFill="1" applyBorder="1" applyNumberFormat="1">
      <alignment horizontal="left" vertical="center" wrapText="1"/>
      <protection locked="0"/>
    </xf>
    <xf numFmtId="0" fontId="74" fillId="34" borderId="0" xfId="0" applyFont="1" applyFill="1" applyNumberFormat="1"/>
    <xf numFmtId="0" fontId="58" fillId="34" borderId="0" xfId="0" applyFont="1" applyFill="1" applyNumberFormat="1"/>
    <xf numFmtId="14" fontId="19" fillId="38" borderId="23" xfId="0" applyFont="1" applyFill="1" applyBorder="1" applyNumberFormat="1">
      <alignment horizontal="left" vertical="center" wrapText="1" indent="1"/>
      <protection locked="0"/>
    </xf>
    <xf numFmtId="0" fontId="102" fillId="0" borderId="0" xfId="0" applyFont="1" applyNumberFormat="1">
      <alignment vertical="center"/>
    </xf>
    <xf numFmtId="0" fontId="102" fillId="0" borderId="0" xfId="0" applyFont="1" applyNumberFormat="1">
      <alignment vertical="center" wrapText="1"/>
    </xf>
    <xf numFmtId="171" fontId="19" fillId="0" borderId="23" xfId="0" applyFont="1" applyBorder="1" applyNumberFormat="1">
      <alignment horizontal="center" vertical="center" wrapText="1"/>
    </xf>
    <xf numFmtId="14" fontId="19" fillId="38" borderId="12" xfId="0" applyFont="1" applyFill="1" applyBorder="1" applyNumberFormat="1">
      <alignment horizontal="left" vertical="center" wrapText="1" indent="1"/>
      <protection locked="0"/>
    </xf>
    <xf numFmtId="0" fontId="19" fillId="33" borderId="23" xfId="0" applyFont="1" applyFill="1" applyBorder="1" applyNumberFormat="1">
      <alignment horizontal="left" vertical="center" wrapText="1" indent="1"/>
    </xf>
    <xf numFmtId="171" fontId="19" fillId="0" borderId="17" xfId="0" applyFont="1" applyBorder="1" applyNumberFormat="1">
      <alignment horizontal="center" vertical="center" wrapText="1"/>
    </xf>
    <xf numFmtId="49" fontId="39"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0" fillId="36" borderId="12" xfId="0" applyFont="1" applyFill="1" applyBorder="1" applyNumberFormat="1">
      <alignment horizontal="right" vertical="center" wrapText="1"/>
    </xf>
    <xf numFmtId="49" fontId="39" fillId="36" borderId="27" xfId="0" applyFont="1" applyFill="1" applyBorder="1" applyNumberFormat="1">
      <alignment horizontal="right" vertical="center" wrapText="1"/>
    </xf>
    <xf numFmtId="49" fontId="43" fillId="38" borderId="23" xfId="0" applyFont="1" applyFill="1" applyBorder="1" applyNumberFormat="1">
      <alignment horizontal="left" vertical="center" wrapText="1"/>
      <protection locked="0"/>
    </xf>
    <xf numFmtId="49" fontId="43" fillId="38" borderId="30" xfId="0" applyFont="1" applyFill="1" applyBorder="1" applyNumberFormat="1">
      <alignment horizontal="left" vertical="center" wrapText="1"/>
      <protection locked="0"/>
    </xf>
    <xf numFmtId="49" fontId="43" fillId="36" borderId="27" xfId="0" applyFont="1" applyFill="1" applyBorder="1" applyNumberFormat="1">
      <alignment horizontal="left" vertical="center" wrapText="1"/>
    </xf>
    <xf numFmtId="49" fontId="43" fillId="36" borderId="23" xfId="0" applyFont="1" applyFill="1" applyBorder="1" applyNumberFormat="1">
      <alignment horizontal="left" vertical="center" wrapText="1"/>
    </xf>
    <xf numFmtId="0" fontId="37" fillId="0" borderId="27" xfId="0" applyFont="1" applyBorder="1" applyNumberFormat="1">
      <alignment horizontal="center" vertical="center" wrapText="1"/>
    </xf>
    <xf numFmtId="0" fontId="37" fillId="0" borderId="0" xfId="0" applyFont="1" applyNumberFormat="1">
      <alignment horizontal="center" vertical="center"/>
    </xf>
    <xf numFmtId="0" fontId="37" fillId="0" borderId="0" xfId="0" applyFont="1" applyNumberFormat="1">
      <alignment horizontal="center" vertical="center"/>
    </xf>
    <xf numFmtId="0" fontId="45" fillId="0" borderId="0" xfId="0" applyFont="1" applyNumberFormat="1">
      <alignment horizontal="center" vertical="center"/>
    </xf>
    <xf numFmtId="0" fontId="31" fillId="0" borderId="0" xfId="0" applyFont="1" applyNumberFormat="1">
      <alignment horizontal="center" vertical="center" wrapText="1"/>
    </xf>
    <xf numFmtId="14" fontId="19" fillId="39" borderId="12" xfId="0" applyFont="1" applyFill="1" applyBorder="1" applyNumberFormat="1">
      <alignment horizontal="left" vertical="center" wrapText="1"/>
    </xf>
    <xf numFmtId="171" fontId="19" fillId="0" borderId="37" xfId="0" applyFont="1" applyBorder="1" applyNumberFormat="1">
      <alignment horizontal="center" vertical="center" wrapText="1"/>
    </xf>
    <xf numFmtId="0" fontId="19" fillId="38" borderId="12" xfId="0" applyFont="1" applyFill="1" applyBorder="1" applyNumberFormat="1">
      <alignment horizontal="center" vertical="center" wrapText="1"/>
      <protection locked="0"/>
    </xf>
    <xf numFmtId="0" fontId="36" fillId="34" borderId="0" xfId="0" applyFont="1" applyFill="1" applyNumberFormat="1"/>
    <xf numFmtId="171" fontId="34" fillId="0" borderId="58" xfId="0" applyFont="1" applyBorder="1" applyNumberFormat="1">
      <alignment horizontal="center" vertical="center" wrapText="1"/>
    </xf>
    <xf numFmtId="171" fontId="34" fillId="0" borderId="58" xfId="0" applyFont="1" applyBorder="1" applyNumberFormat="1">
      <alignment horizontal="center" vertical="center" wrapText="1"/>
    </xf>
    <xf numFmtId="49" fontId="43" fillId="38" borderId="27" xfId="0" applyFont="1" applyFill="1" applyBorder="1" applyNumberFormat="1">
      <alignment horizontal="left" vertical="center" wrapText="1"/>
      <protection locked="0"/>
    </xf>
    <xf numFmtId="0" fontId="19" fillId="0" borderId="15" xfId="0" applyFont="1" applyBorder="1" applyNumberFormat="1">
      <alignment horizontal="right" vertical="center" wrapText="1" indent="1"/>
    </xf>
    <xf numFmtId="0" fontId="19" fillId="33" borderId="14" xfId="0" applyFont="1" applyFill="1" applyBorder="1" applyNumberFormat="1">
      <alignment horizontal="left" vertical="top" wrapText="1"/>
    </xf>
    <xf numFmtId="49" fontId="37" fillId="0" borderId="0" xfId="0" applyFont="1" applyNumberFormat="1">
      <alignment horizontal="center" vertical="center"/>
    </xf>
    <xf numFmtId="49" fontId="57" fillId="0" borderId="0" xfId="0" applyFont="1" applyNumberFormat="1">
      <alignment vertical="top"/>
    </xf>
    <xf numFmtId="0" fontId="31" fillId="0" borderId="0" xfId="0" applyFont="1" applyNumberFormat="1">
      <alignment vertical="center"/>
    </xf>
    <xf numFmtId="0" fontId="19" fillId="0" borderId="36"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22" xfId="0" applyFont="1" applyBorder="1" applyNumberFormat="1">
      <alignment horizontal="center" vertical="center" wrapText="1"/>
    </xf>
    <xf numFmtId="49" fontId="19" fillId="0" borderId="36" xfId="0" applyFont="1" applyBorder="1" applyNumberFormat="1">
      <alignment horizontal="left" vertical="center" wrapText="1"/>
    </xf>
    <xf numFmtId="49" fontId="19" fillId="0" borderId="36" xfId="0" applyFont="1" applyBorder="1" applyNumberFormat="1">
      <alignment horizontal="center" vertical="center" wrapText="1"/>
    </xf>
    <xf numFmtId="49" fontId="19" fillId="0" borderId="17" xfId="0" applyFont="1" applyBorder="1" applyNumberFormat="1">
      <alignment horizontal="center" vertical="center" wrapText="1"/>
    </xf>
    <xf numFmtId="0" fontId="19" fillId="0" borderId="36" xfId="0" applyFont="1" applyBorder="1" applyNumberFormat="1">
      <alignment horizontal="left" vertical="center" wrapText="1"/>
    </xf>
    <xf numFmtId="49" fontId="19" fillId="0" borderId="36" xfId="0" applyFont="1" applyBorder="1" applyNumberFormat="1">
      <alignment vertical="center" wrapText="1"/>
    </xf>
    <xf numFmtId="0" fontId="19" fillId="0" borderId="23" xfId="0" applyFont="1" applyBorder="1" applyNumberFormat="1">
      <alignment horizontal="left" vertical="center" wrapText="1"/>
    </xf>
    <xf numFmtId="0" fontId="29" fillId="0" borderId="23" xfId="0" applyFont="1" applyBorder="1" applyNumberFormat="1">
      <alignment horizontal="left" vertical="center"/>
    </xf>
    <xf numFmtId="0" fontId="29" fillId="36" borderId="14" xfId="0" applyFont="1" applyFill="1" applyBorder="1" applyNumberFormat="1">
      <alignment horizontal="left" vertical="center"/>
    </xf>
    <xf numFmtId="0" fontId="29" fillId="0" borderId="36" xfId="0" applyFont="1" applyBorder="1" applyNumberFormat="1">
      <alignment horizontal="left" vertical="center"/>
    </xf>
    <xf numFmtId="0" fontId="29" fillId="36" borderId="37" xfId="0" applyFont="1" applyFill="1" applyBorder="1" applyNumberFormat="1">
      <alignment horizontal="left" vertical="center"/>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19" fillId="39" borderId="17" xfId="0" applyFont="1" applyFill="1" applyBorder="1" applyNumberFormat="1">
      <alignment vertical="center" wrapText="1"/>
    </xf>
    <xf numFmtId="0" fontId="19" fillId="0" borderId="37" xfId="0" applyFont="1" applyBorder="1" applyNumberFormat="1">
      <alignment horizontal="center" vertical="center" wrapText="1"/>
    </xf>
    <xf numFmtId="49" fontId="0" fillId="0" borderId="0" xfId="0" applyFont="1" applyNumberFormat="1">
      <alignment vertical="top"/>
    </xf>
    <xf numFmtId="49" fontId="36" fillId="0" borderId="0" xfId="0" applyFont="1" applyNumberFormat="1">
      <alignment horizontal="center" vertical="center"/>
    </xf>
    <xf numFmtId="0" fontId="103" fillId="0" borderId="0" xfId="0" applyFont="1" applyNumberFormat="1">
      <alignment vertical="center" wrapText="1"/>
    </xf>
    <xf numFmtId="0" fontId="104" fillId="0" borderId="0" xfId="0" applyFont="1" applyNumberFormat="1">
      <alignment vertical="center" wrapText="1"/>
    </xf>
    <xf numFmtId="0" fontId="19" fillId="0" borderId="17" xfId="0" applyFont="1" applyBorder="1" applyNumberFormat="1">
      <alignment horizontal="center" vertical="center" wrapText="1"/>
    </xf>
    <xf numFmtId="49" fontId="19" fillId="0" borderId="17" xfId="0" applyFont="1" applyBorder="1" applyNumberFormat="1">
      <alignment horizontal="left" vertical="center" wrapText="1"/>
    </xf>
    <xf numFmtId="49" fontId="19" fillId="0" borderId="17" xfId="0" applyFont="1" applyBorder="1" applyNumberFormat="1">
      <alignment horizontal="left" vertical="center" wrapText="1"/>
    </xf>
    <xf numFmtId="49" fontId="19" fillId="0" borderId="17" xfId="0" applyFont="1" applyBorder="1" applyNumberFormat="1">
      <alignment horizontal="center" vertical="center" wrapText="1"/>
    </xf>
    <xf numFmtId="0" fontId="19" fillId="0" borderId="17" xfId="0" applyFont="1" applyBorder="1" applyNumberFormat="1">
      <alignment horizontal="left" vertical="center" wrapText="1"/>
    </xf>
    <xf numFmtId="0" fontId="19" fillId="0" borderId="0" xfId="0" applyFont="1" applyNumberFormat="1">
      <alignment horizontal="left" vertical="center" wrapText="1"/>
    </xf>
    <xf numFmtId="49" fontId="19" fillId="0" borderId="19" xfId="0" applyFont="1" applyBorder="1" applyNumberFormat="1">
      <alignmen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19" xfId="0" applyFont="1" applyBorder="1" applyNumberFormat="1">
      <alignment horizontal="center" vertical="center" wrapText="1"/>
    </xf>
    <xf numFmtId="0" fontId="19" fillId="0" borderId="19" xfId="0" applyFont="1" applyBorder="1" applyNumberFormat="1">
      <alignment horizontal="left" vertical="center" wrapText="1"/>
    </xf>
    <xf numFmtId="49" fontId="19" fillId="0" borderId="19" xfId="0" applyFont="1" applyBorder="1" applyNumberFormat="1">
      <alignment vertical="center" wrapText="1"/>
    </xf>
    <xf numFmtId="49" fontId="19" fillId="0" borderId="0" xfId="0" applyFont="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49" fontId="19" fillId="0" borderId="0" xfId="0" applyFont="1" applyNumberFormat="1">
      <alignment horizontal="center" vertical="center" wrapText="1"/>
    </xf>
    <xf numFmtId="0" fontId="19" fillId="0" borderId="0" xfId="0" applyFont="1" applyNumberFormat="1">
      <alignment horizontal="left" vertical="center" wrapText="1"/>
    </xf>
    <xf numFmtId="0" fontId="29" fillId="0" borderId="0" xfId="0" applyFont="1" applyNumberFormat="1">
      <alignment horizontal="left" vertical="center"/>
    </xf>
    <xf numFmtId="49" fontId="25" fillId="0" borderId="0" xfId="0" applyFont="1" applyNumberFormat="1">
      <alignment horizontal="center" vertical="center" wrapText="1"/>
    </xf>
    <xf numFmtId="0" fontId="29" fillId="0" borderId="0" xfId="0" applyFont="1" applyNumberFormat="1">
      <alignment vertical="center"/>
    </xf>
    <xf numFmtId="49" fontId="57" fillId="0" borderId="30" xfId="0" applyFont="1" applyBorder="1" applyNumberFormat="1">
      <alignment vertical="top"/>
    </xf>
    <xf numFmtId="49" fontId="19" fillId="0" borderId="37" xfId="0" applyFont="1" applyBorder="1" applyNumberFormat="1">
      <alignment vertical="center" wrapText="1"/>
    </xf>
    <xf numFmtId="49" fontId="19" fillId="0" borderId="22" xfId="0" applyFont="1" applyBorder="1" applyNumberFormat="1">
      <alignment vertical="center" wrapText="1"/>
    </xf>
    <xf numFmtId="0" fontId="29" fillId="0" borderId="22" xfId="0" applyFont="1" applyBorder="1" applyNumberFormat="1">
      <alignment horizontal="left" vertical="center"/>
    </xf>
    <xf numFmtId="49" fontId="57" fillId="0" borderId="27" xfId="0" applyFont="1" applyBorder="1" applyNumberFormat="1">
      <alignment vertical="top"/>
    </xf>
    <xf numFmtId="49" fontId="19" fillId="0" borderId="36" xfId="0" applyFont="1" applyBorder="1" applyNumberFormat="1">
      <alignment horizontal="center" vertical="center" wrapText="1"/>
    </xf>
    <xf numFmtId="0" fontId="29" fillId="36" borderId="37" xfId="0" applyFont="1" applyFill="1" applyBorder="1" applyNumberFormat="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19" fillId="0" borderId="0" xfId="0" applyFont="1" applyNumberFormat="1">
      <alignment vertical="center" wrapText="1"/>
    </xf>
    <xf numFmtId="0" fontId="20" fillId="0" borderId="0" xfId="0" applyFont="1" applyNumberFormat="1">
      <alignment vertical="center" wrapText="1"/>
    </xf>
    <xf numFmtId="0" fontId="31" fillId="0" borderId="0" xfId="0" applyFont="1" applyNumberFormat="1">
      <alignment vertical="center" wrapText="1"/>
    </xf>
    <xf numFmtId="0" fontId="19" fillId="0" borderId="0" xfId="0" applyFont="1" applyNumberFormat="1">
      <alignment horizontal="left" vertical="center" wrapText="1"/>
    </xf>
    <xf numFmtId="0" fontId="48" fillId="0" borderId="0" xfId="0" applyFont="1" applyNumberFormat="1">
      <alignment vertical="center" wrapText="1"/>
    </xf>
    <xf numFmtId="0" fontId="50" fillId="0" borderId="0" xfId="0" applyFont="1" applyNumberFormat="1">
      <alignment vertical="center" wrapText="1"/>
    </xf>
    <xf numFmtId="0" fontId="78" fillId="0" borderId="0" xfId="0" applyFont="1" applyNumberFormat="1">
      <alignment vertical="center" wrapText="1"/>
    </xf>
    <xf numFmtId="0" fontId="37" fillId="0" borderId="0" xfId="0" applyFont="1" applyNumberFormat="1">
      <alignment vertical="center" wrapText="1"/>
    </xf>
    <xf numFmtId="0" fontId="54" fillId="0" borderId="0" xfId="0" applyFont="1" applyNumberFormat="1">
      <alignment vertical="center" wrapText="1"/>
    </xf>
    <xf numFmtId="49" fontId="19" fillId="0" borderId="12" xfId="0" applyFont="1" applyBorder="1" applyNumberFormat="1">
      <alignment horizontal="center" vertical="center" wrapText="1"/>
    </xf>
    <xf numFmtId="0" fontId="25" fillId="34" borderId="12" xfId="0" applyFont="1" applyFill="1" applyBorder="1" applyNumberFormat="1">
      <alignment horizontal="center" vertical="center" wrapText="1"/>
    </xf>
    <xf numFmtId="0" fontId="19" fillId="0" borderId="0" xfId="0" applyFont="1" applyNumberFormat="1">
      <alignment vertical="center" wrapText="1"/>
    </xf>
    <xf numFmtId="0" fontId="25" fillId="34" borderId="0" xfId="0" applyFont="1" applyFill="1" applyNumberFormat="1">
      <alignment horizontal="center" vertical="center" wrapText="1"/>
    </xf>
    <xf numFmtId="49" fontId="19" fillId="0" borderId="12" xfId="0" applyFont="1" applyBorder="1" applyNumberFormat="1">
      <alignment horizontal="center" vertical="center" wrapText="1"/>
    </xf>
    <xf numFmtId="3" fontId="19" fillId="38" borderId="12" xfId="0" applyFont="1" applyFill="1" applyBorder="1" applyNumberFormat="1">
      <alignment horizontal="right" vertical="center" wrapText="1"/>
      <protection locked="0"/>
    </xf>
    <xf numFmtId="0" fontId="37" fillId="0" borderId="0" xfId="0" applyFont="1" applyNumberFormat="1">
      <alignment vertical="center" wrapText="1"/>
    </xf>
    <xf numFmtId="49" fontId="19" fillId="38" borderId="12" xfId="0" applyFont="1" applyFill="1" applyBorder="1" applyNumberFormat="1">
      <alignment horizontal="left" vertical="center" wrapText="1"/>
      <protection locked="0"/>
    </xf>
    <xf numFmtId="0" fontId="37" fillId="0" borderId="0" xfId="0" applyFont="1" applyNumberFormat="1">
      <alignment vertical="center"/>
    </xf>
    <xf numFmtId="0" fontId="25" fillId="34" borderId="12" xfId="0" applyFont="1" applyFill="1" applyBorder="1" applyNumberFormat="1">
      <alignment horizontal="center" vertical="center" wrapText="1"/>
    </xf>
    <xf numFmtId="0" fontId="36" fillId="0" borderId="22" xfId="0" applyFont="1" applyBorder="1" applyNumberFormat="1">
      <alignment vertical="center"/>
    </xf>
    <xf numFmtId="0" fontId="36" fillId="0" borderId="22" xfId="0" applyFont="1" applyBorder="1" applyNumberFormat="1">
      <alignment vertical="center"/>
    </xf>
    <xf numFmtId="0" fontId="19" fillId="0" borderId="17" xfId="0" applyFont="1" applyBorder="1" applyNumberFormat="1">
      <alignment horizontal="left" vertical="center" wrapText="1" indent="1"/>
    </xf>
    <xf numFmtId="49" fontId="19" fillId="0" borderId="59" xfId="0" applyFont="1" applyBorder="1" applyNumberFormat="1">
      <alignment horizontal="center" vertical="center" wrapText="1"/>
    </xf>
    <xf numFmtId="49" fontId="19" fillId="0" borderId="28" xfId="0" applyFont="1" applyBorder="1" applyNumberFormat="1">
      <alignment horizontal="center" vertical="center" wrapText="1"/>
    </xf>
    <xf numFmtId="0" fontId="19" fillId="0" borderId="0" xfId="0" applyFont="1" applyNumberFormat="1">
      <alignment vertical="center" wrapText="1"/>
    </xf>
    <xf numFmtId="0" fontId="20" fillId="0" borderId="0" xfId="0" applyFont="1" applyNumberFormat="1">
      <alignment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37" fillId="0" borderId="0" xfId="0" applyFont="1" applyNumberFormat="1">
      <alignment vertical="center" wrapText="1"/>
    </xf>
    <xf numFmtId="0" fontId="19" fillId="0" borderId="12" xfId="0" applyFont="1" applyBorder="1" applyNumberFormat="1">
      <alignment horizontal="center"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0" fontId="44" fillId="0" borderId="0" xfId="0" applyFont="1" applyNumberFormat="1">
      <alignment vertical="center"/>
    </xf>
    <xf numFmtId="0" fontId="63" fillId="0" borderId="0" xfId="0" applyFont="1" applyNumberFormat="1">
      <alignment vertical="center" wrapText="1"/>
    </xf>
    <xf numFmtId="0" fontId="37" fillId="0" borderId="0" xfId="0" applyFont="1" applyNumberFormat="1">
      <alignment vertical="center" wrapText="1"/>
    </xf>
    <xf numFmtId="0" fontId="19" fillId="0" borderId="13"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0" xfId="0" applyFont="1" applyNumberFormat="1">
      <alignment horizontal="left" vertical="top" wrapText="1"/>
    </xf>
    <xf numFmtId="0" fontId="19" fillId="0" borderId="12" xfId="0" applyFont="1" applyBorder="1" applyNumberFormat="1">
      <alignment horizontal="center" vertical="center" wrapText="1"/>
    </xf>
    <xf numFmtId="49" fontId="19" fillId="39" borderId="12" xfId="0" applyFont="1" applyFill="1" applyBorder="1" applyNumberFormat="1">
      <alignment horizontal="left" vertical="center" wrapText="1"/>
    </xf>
    <xf numFmtId="0" fontId="19" fillId="0" borderId="12" xfId="0" applyFont="1" applyBorder="1" applyNumberFormat="1">
      <alignment horizontal="left" vertical="center" wrapText="1" indent="2"/>
    </xf>
    <xf numFmtId="0" fontId="37" fillId="0" borderId="17"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2"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2" xfId="0" applyFont="1" applyBorder="1" applyNumberFormat="1">
      <alignment horizontal="center" vertical="center" wrapText="1"/>
    </xf>
    <xf numFmtId="49" fontId="0" fillId="0" borderId="12" xfId="0" applyFont="1" applyBorder="1" applyNumberFormat="1">
      <alignment vertical="center" wrapText="1"/>
    </xf>
    <xf numFmtId="0" fontId="37" fillId="0" borderId="14" xfId="0" applyFont="1" applyBorder="1" applyNumberFormat="1">
      <alignment vertical="center" wrapText="1"/>
    </xf>
    <xf numFmtId="0" fontId="37" fillId="0" borderId="14" xfId="0" applyFont="1" applyBorder="1" applyNumberFormat="1">
      <alignment horizontal="left" vertical="top" wrapText="1"/>
    </xf>
    <xf numFmtId="49" fontId="19" fillId="0" borderId="60" xfId="0" applyFont="1" applyBorder="1" applyNumberFormat="1">
      <alignment horizontal="center" vertical="center" wrapText="1"/>
    </xf>
    <xf numFmtId="0" fontId="19" fillId="0" borderId="17" xfId="0" applyFont="1" applyBorder="1" applyNumberFormat="1">
      <alignment horizontal="left" vertical="center" wrapText="1"/>
    </xf>
    <xf numFmtId="49" fontId="29" fillId="36"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19" fillId="0" borderId="0" xfId="0" applyFont="1" applyNumberFormat="1">
      <alignment vertical="center" wrapText="1"/>
    </xf>
    <xf numFmtId="0" fontId="0" fillId="0" borderId="12" xfId="0" applyFont="1" applyBorder="1" applyNumberFormat="1">
      <alignment horizontal="center" vertical="center" wrapText="1"/>
    </xf>
    <xf numFmtId="49" fontId="19" fillId="39" borderId="12" xfId="0" applyFont="1" applyFill="1" applyBorder="1" applyNumberFormat="1">
      <alignment horizontal="left" vertical="center" wrapText="1" indent="1"/>
    </xf>
    <xf numFmtId="0" fontId="0" fillId="0" borderId="12" xfId="0" applyFont="1" applyBorder="1" applyNumberFormat="1">
      <alignment horizontal="left" vertical="center" wrapText="1" indent="1"/>
    </xf>
    <xf numFmtId="49" fontId="0" fillId="34" borderId="12" xfId="0" applyFont="1" applyFill="1" applyBorder="1" applyNumberFormat="1">
      <alignment horizontal="center" vertical="center" wrapText="1"/>
    </xf>
    <xf numFmtId="49" fontId="19" fillId="39" borderId="12" xfId="0" applyFont="1" applyFill="1" applyBorder="1" applyNumberFormat="1">
      <alignment horizontal="left" vertical="center" wrapText="1"/>
    </xf>
    <xf numFmtId="49" fontId="19" fillId="0" borderId="61" xfId="0" applyFont="1" applyBorder="1" applyNumberFormat="1">
      <alignment horizontal="center" vertical="center" wrapText="1"/>
    </xf>
    <xf numFmtId="4" fontId="19" fillId="38" borderId="17" xfId="0" applyFont="1" applyFill="1" applyBorder="1" applyNumberFormat="1">
      <alignment horizontal="right" vertical="center" wrapText="1"/>
      <protection locked="0"/>
    </xf>
    <xf numFmtId="49" fontId="29" fillId="0" borderId="19" xfId="0" applyFont="1" applyBorder="1" applyNumberFormat="1">
      <alignment horizontal="left" vertical="center"/>
    </xf>
    <xf numFmtId="49" fontId="29" fillId="0" borderId="19" xfId="0" applyFont="1" applyBorder="1" applyNumberFormat="1">
      <alignment horizontal="left" vertical="center" indent="2"/>
    </xf>
    <xf numFmtId="49" fontId="33" fillId="0" borderId="19" xfId="0" applyFont="1" applyBorder="1" applyNumberFormat="1">
      <alignment horizontal="center" vertical="top"/>
    </xf>
    <xf numFmtId="0" fontId="19" fillId="0" borderId="19" xfId="0" applyFont="1" applyBorder="1" applyNumberFormat="1">
      <alignment horizontal="left" vertical="top" wrapText="1"/>
    </xf>
    <xf numFmtId="0" fontId="19" fillId="0" borderId="0" xfId="0" applyFont="1" applyNumberFormat="1">
      <alignment horizontal="right" vertical="top" wrapText="1"/>
    </xf>
    <xf numFmtId="49" fontId="0" fillId="38" borderId="12" xfId="0" applyFont="1" applyFill="1" applyBorder="1" applyNumberFormat="1">
      <alignment horizontal="left" vertical="center" wrapText="1" indent="1"/>
      <protection locked="0"/>
    </xf>
    <xf numFmtId="49" fontId="36" fillId="0" borderId="0" xfId="0" applyFont="1" applyNumberFormat="1">
      <alignment vertical="top"/>
    </xf>
    <xf numFmtId="49"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0" fontId="19" fillId="34" borderId="0" xfId="0" applyFont="1" applyFill="1" applyNumberFormat="1"/>
    <xf numFmtId="0" fontId="19" fillId="0" borderId="0" xfId="0" applyFont="1" applyNumberFormat="1">
      <alignment vertical="top" wrapText="1"/>
    </xf>
    <xf numFmtId="0" fontId="25" fillId="34" borderId="0" xfId="0" applyFont="1" applyFill="1" applyNumberFormat="1">
      <alignment horizontal="center" vertical="center" wrapText="1"/>
    </xf>
    <xf numFmtId="0" fontId="0" fillId="34" borderId="23" xfId="0" applyFont="1" applyFill="1" applyBorder="1" applyNumberFormat="1">
      <alignment vertical="center" wrapText="1"/>
    </xf>
    <xf numFmtId="49" fontId="0" fillId="0" borderId="0" xfId="0" applyFont="1" applyNumberFormat="1">
      <alignment vertical="top"/>
    </xf>
    <xf numFmtId="0" fontId="0" fillId="0" borderId="0" xfId="0" applyFont="1" applyNumberFormat="1">
      <alignment vertical="top"/>
    </xf>
    <xf numFmtId="49" fontId="20" fillId="46" borderId="0" xfId="0" applyFont="1" applyFill="1" applyNumberFormat="1">
      <alignment horizontal="center" vertical="center"/>
    </xf>
    <xf numFmtId="0" fontId="0" fillId="47" borderId="0" xfId="0" applyFont="1" applyFill="1" applyNumberFormat="1">
      <alignment horizontal="left" vertical="center"/>
    </xf>
    <xf numFmtId="49" fontId="0" fillId="0" borderId="0" xfId="0" applyFont="1" applyNumberFormat="1">
      <alignment vertical="center"/>
    </xf>
    <xf numFmtId="0" fontId="0" fillId="47" borderId="0" xfId="0" applyFont="1" applyFill="1" applyNumberFormat="1">
      <alignment horizontal="right" vertical="center"/>
    </xf>
    <xf numFmtId="0" fontId="44" fillId="47" borderId="0" xfId="0" applyFont="1" applyFill="1" applyNumberFormat="1">
      <alignment horizontal="left" vertical="center"/>
    </xf>
    <xf numFmtId="0" fontId="0" fillId="0" borderId="0" xfId="0" applyFont="1" applyNumberFormat="1">
      <alignment horizontal="right" vertical="top"/>
    </xf>
    <xf numFmtId="0" fontId="0" fillId="47" borderId="10" xfId="0" applyFont="1" applyFill="1" applyBorder="1" applyNumberFormat="1">
      <alignment horizontal="center"/>
    </xf>
    <xf numFmtId="0" fontId="0" fillId="0" borderId="10" xfId="0" applyFont="1" applyBorder="1" applyNumberFormat="1">
      <alignment horizontal="center"/>
    </xf>
    <xf numFmtId="0" fontId="105" fillId="0" borderId="0" xfId="0" applyFont="1" applyNumberForma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27" fillId="0" borderId="0" xfId="0" applyFont="1" applyNumberFormat="1"/>
    <xf numFmtId="0" fontId="92" fillId="0" borderId="0" xfId="0" applyFont="1" applyNumberFormat="1">
      <alignment horizontal="left" vertical="center" wrapText="1"/>
    </xf>
    <xf numFmtId="49" fontId="107" fillId="0" borderId="0" xfId="0" applyFont="1" applyNumberFormat="1">
      <alignment wrapText="1"/>
    </xf>
    <xf numFmtId="0" fontId="35" fillId="0" borderId="0" xfId="0" applyFont="1" applyNumberFormat="1">
      <alignment horizontal="left" vertical="top" wrapText="1"/>
    </xf>
    <xf numFmtId="49" fontId="19" fillId="0" borderId="0" xfId="0" applyFont="1" applyNumberFormat="1">
      <alignment vertical="top" wrapText="1"/>
    </xf>
    <xf numFmtId="0" fontId="56" fillId="0" borderId="0" xfId="0" applyFont="1" applyNumberFormat="1">
      <alignment wrapText="1"/>
    </xf>
    <xf numFmtId="0" fontId="108" fillId="0" borderId="0" xfId="0" applyFont="1" applyNumberFormat="1">
      <alignment horizontal="left" vertical="center" wrapText="1"/>
    </xf>
    <xf numFmtId="0" fontId="109" fillId="0" borderId="0" xfId="0" applyFont="1" applyNumberFormat="1">
      <alignment vertical="center" wrapText="1"/>
    </xf>
    <xf numFmtId="0" fontId="56" fillId="0" borderId="38" xfId="0" applyFont="1" applyBorder="1" applyNumberFormat="1">
      <alignment wrapText="1"/>
    </xf>
    <xf numFmtId="0" fontId="56" fillId="0" borderId="0" xfId="0" applyFont="1" applyNumberFormat="1"/>
    <xf numFmtId="0" fontId="108" fillId="0" borderId="0" xfId="0" applyFont="1" applyNumberFormat="1"/>
    <xf numFmtId="0" fontId="110" fillId="0" borderId="0" xfId="0" applyFont="1" applyNumberFormat="1">
      <alignment wrapText="1"/>
    </xf>
    <xf numFmtId="0" fontId="0" fillId="35" borderId="62" xfId="0" applyFont="1" applyFill="1" applyBorder="1" applyNumberFormat="1">
      <alignment horizontal="center" vertical="center" wrapText="1"/>
    </xf>
    <xf numFmtId="0" fontId="0" fillId="52" borderId="62" xfId="0" applyFont="1" applyFill="1" applyBorder="1" applyNumberFormat="1">
      <alignment horizontal="center" vertical="center" wrapText="1"/>
    </xf>
    <xf numFmtId="0" fontId="0" fillId="33" borderId="62" xfId="0" applyFont="1" applyFill="1" applyBorder="1" applyNumberFormat="1">
      <alignment horizontal="center" vertical="center" wrapText="1"/>
    </xf>
    <xf numFmtId="0" fontId="0" fillId="38" borderId="62" xfId="0" applyFont="1" applyFill="1" applyBorder="1" applyNumberFormat="1">
      <alignment horizontal="center" vertical="center" wrapText="1"/>
    </xf>
    <xf numFmtId="0" fontId="108" fillId="0" borderId="38" xfId="0" applyFont="1" applyBorder="1" applyNumberFormat="1">
      <alignment horizontal="left" vertical="center" wrapText="1"/>
    </xf>
    <xf numFmtId="0" fontId="108" fillId="0" borderId="63" xfId="0" applyFont="1" applyBorder="1" applyNumberFormat="1">
      <alignment horizontal="left" vertical="center" wrapText="1"/>
    </xf>
    <xf numFmtId="0" fontId="110" fillId="0" borderId="0" xfId="0" applyFont="1" applyNumberFormat="1"/>
    <xf numFmtId="0" fontId="110" fillId="0" borderId="38" xfId="0" applyFont="1" applyBorder="1" applyNumberFormat="1">
      <alignment wrapText="1"/>
    </xf>
    <xf numFmtId="0" fontId="56" fillId="0" borderId="64" xfId="0" applyFont="1" applyBorder="1" applyNumberFormat="1">
      <alignment wrapText="1"/>
    </xf>
    <xf numFmtId="0" fontId="56" fillId="0" borderId="39" xfId="0" applyFont="1" applyBorder="1" applyNumberFormat="1">
      <alignment wrapText="1"/>
    </xf>
    <xf numFmtId="0" fontId="56" fillId="0" borderId="39" xfId="0" applyFont="1" applyBorder="1" applyNumberFormat="1">
      <alignment vertical="center" wrapText="1"/>
    </xf>
    <xf numFmtId="0" fontId="106" fillId="0" borderId="0" xfId="0" applyFont="1" applyNumberFormat="1"/>
    <xf numFmtId="0" fontId="24" fillId="0" borderId="24" xfId="0" applyFont="1" applyBorder="1" applyNumberFormat="1">
      <alignment horizontal="center" vertical="center" wrapText="1"/>
    </xf>
    <xf numFmtId="49" fontId="19" fillId="0" borderId="13" xfId="0" applyFont="1" applyBorder="1" applyNumberFormat="1">
      <alignment horizontal="center" vertical="center" wrapText="1"/>
    </xf>
    <xf numFmtId="49" fontId="111" fillId="0" borderId="0" xfId="0" applyFont="1" applyNumberFormat="1">
      <alignment horizontal="center" vertical="center" wrapText="1"/>
    </xf>
    <xf numFmtId="49" fontId="19" fillId="47" borderId="0" xfId="0" applyFont="1" applyFill="1" applyNumberFormat="1">
      <alignment horizontal="center" vertical="center"/>
    </xf>
    <xf numFmtId="174" fontId="0" fillId="38" borderId="12" xfId="0" applyFont="1" applyFill="1" applyBorder="1" applyNumberFormat="1">
      <alignment horizontal="left" vertical="center" wrapText="1" indent="1"/>
      <protection locked="0"/>
    </xf>
    <xf numFmtId="174" fontId="0" fillId="0" borderId="12" xfId="0" applyFont="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174" fontId="37" fillId="0" borderId="0" xfId="0" applyFont="1" applyNumberFormat="1">
      <alignment horizontal="center" vertical="center" wrapText="1"/>
    </xf>
    <xf numFmtId="174" fontId="37" fillId="0" borderId="12" xfId="0" applyFont="1" applyBorder="1" applyNumberFormat="1">
      <alignment horizontal="center" vertical="center" wrapText="1"/>
    </xf>
    <xf numFmtId="174" fontId="0" fillId="38" borderId="12" xfId="0" applyFont="1" applyFill="1" applyBorder="1" applyNumberFormat="1">
      <alignment horizontal="left" vertical="center" wrapText="1"/>
      <protection locked="0"/>
    </xf>
    <xf numFmtId="174" fontId="0" fillId="35" borderId="12" xfId="0" applyFont="1" applyFill="1" applyBorder="1" applyNumberFormat="1">
      <alignment horizontal="left" vertical="center" wrapText="1" indent="1"/>
      <protection locked="0"/>
    </xf>
    <xf numFmtId="174" fontId="0" fillId="38" borderId="13" xfId="0" applyFont="1" applyFill="1" applyBorder="1" applyNumberFormat="1">
      <alignment horizontal="left" vertical="center" wrapText="1"/>
      <protection locked="0"/>
    </xf>
    <xf numFmtId="0" fontId="19" fillId="0" borderId="0" xfId="0" applyFont="1" applyNumberFormat="1">
      <alignment horizontal="left" vertical="top" indent="1"/>
    </xf>
    <xf numFmtId="0" fontId="19" fillId="33" borderId="30" xfId="0" applyFont="1" applyFill="1" applyBorder="1" applyNumberFormat="1">
      <alignment horizontal="center" vertical="top"/>
    </xf>
    <xf numFmtId="0" fontId="0" fillId="0" borderId="34" xfId="0" applyFont="1" applyBorder="1" applyNumberFormat="1">
      <alignment horizontal="center" vertical="center"/>
    </xf>
    <xf numFmtId="0" fontId="0" fillId="0" borderId="33" xfId="0" applyFont="1" applyBorder="1" applyNumberFormat="1">
      <alignment horizontal="center" vertical="center"/>
    </xf>
    <xf numFmtId="0" fontId="19" fillId="33" borderId="30" xfId="0" applyFont="1" applyFill="1" applyBorder="1" applyNumberFormat="1">
      <alignment horizontal="left" vertical="top"/>
    </xf>
    <xf numFmtId="0" fontId="19" fillId="0" borderId="12" xfId="0" applyFont="1" applyBorder="1" applyNumberFormat="1">
      <alignment horizontal="left" vertical="top"/>
    </xf>
    <xf numFmtId="49" fontId="19" fillId="0" borderId="0" xfId="0" applyFont="1" applyNumberFormat="1">
      <alignment horizontal="left" vertical="top"/>
    </xf>
    <xf numFmtId="0" fontId="0" fillId="33" borderId="36" xfId="0" applyFont="1" applyFill="1" applyBorder="1" applyNumberFormat="1">
      <alignment horizontal="left" vertical="top" wrapText="1" indent="1"/>
    </xf>
    <xf numFmtId="49" fontId="19"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19" fillId="39" borderId="36" xfId="0" applyFont="1" applyFill="1" applyBorder="1" applyNumberFormat="1">
      <alignment horizontal="left" vertical="top" wrapText="1"/>
    </xf>
    <xf numFmtId="49" fontId="19"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19" fillId="33" borderId="36" xfId="0" applyFont="1" applyFill="1" applyBorder="1" applyNumberFormat="1">
      <alignment horizontal="center" vertical="top" wrapText="1"/>
    </xf>
    <xf numFmtId="0" fontId="19" fillId="35" borderId="36" xfId="0" applyFont="1" applyFill="1" applyBorder="1" applyNumberFormat="1">
      <alignment horizontal="left" vertical="top" wrapText="1"/>
      <protection locked="0"/>
    </xf>
    <xf numFmtId="0" fontId="29" fillId="0" borderId="36" xfId="0" applyFont="1" applyBorder="1" applyNumberFormat="1">
      <alignment horizontal="left" vertical="center"/>
    </xf>
    <xf numFmtId="0" fontId="29" fillId="35" borderId="36" xfId="0" applyFont="1" applyFill="1" applyBorder="1" applyNumberFormat="1">
      <alignment horizontal="left" vertical="center"/>
      <protection locked="0"/>
    </xf>
    <xf numFmtId="0" fontId="29" fillId="38" borderId="36" xfId="0" applyFont="1" applyFill="1" applyBorder="1" applyNumberFormat="1">
      <alignment horizontal="left" vertical="center"/>
      <protection locked="0"/>
    </xf>
    <xf numFmtId="14" fontId="19" fillId="39" borderId="36" xfId="0" applyFont="1" applyFill="1" applyBorder="1" applyNumberFormat="1">
      <alignment horizontal="left" vertical="center" wrapText="1" indent="1"/>
    </xf>
    <xf numFmtId="49" fontId="19" fillId="39" borderId="0" xfId="0" applyFont="1" applyFill="1" applyNumberFormat="1">
      <alignment horizontal="center" vertical="center" wrapText="1"/>
    </xf>
    <xf numFmtId="0" fontId="19" fillId="0" borderId="12" xfId="0" applyFont="1" applyBorder="1" applyNumberFormat="1">
      <alignment horizontal="center" vertical="center" wrapText="1"/>
    </xf>
    <xf numFmtId="0" fontId="0" fillId="34" borderId="12" xfId="0" applyFont="1" applyFill="1" applyBorder="1" applyNumberFormat="1">
      <alignment vertical="top" wrapText="1"/>
    </xf>
    <xf numFmtId="0" fontId="36" fillId="0" borderId="12" xfId="0" applyFont="1" applyBorder="1" applyNumberFormat="1">
      <alignment vertical="top" wrapText="1"/>
    </xf>
    <xf numFmtId="49" fontId="19" fillId="39" borderId="17" xfId="0" applyFont="1" applyFill="1" applyBorder="1" applyNumberFormat="1">
      <alignment vertical="center" wrapText="1"/>
    </xf>
    <xf numFmtId="49" fontId="19" fillId="39" borderId="36" xfId="0" applyFont="1" applyFill="1" applyBorder="1" applyNumberFormat="1">
      <alignment vertical="center" wrapText="1"/>
    </xf>
    <xf numFmtId="49" fontId="19" fillId="39" borderId="23" xfId="0" applyFont="1" applyFill="1" applyBorder="1" applyNumberFormat="1">
      <alignment vertical="center" wrapText="1"/>
    </xf>
    <xf numFmtId="49" fontId="19" fillId="35" borderId="12" xfId="0" applyFont="1" applyFill="1" applyBorder="1" applyNumberFormat="1">
      <alignment horizontal="left" vertical="center" wrapText="1" indent="1"/>
      <protection locked="0"/>
    </xf>
    <xf numFmtId="0" fontId="0" fillId="38" borderId="12" xfId="0" applyFont="1" applyFill="1" applyBorder="1" applyNumberFormat="1">
      <alignment horizontal="left" vertical="center" wrapText="1" indent="1"/>
      <protection locked="0"/>
    </xf>
    <xf numFmtId="0" fontId="0" fillId="0" borderId="13" xfId="0" applyFont="1" applyBorder="1" applyNumberFormat="1">
      <alignment horizontal="center" vertical="center" wrapText="1"/>
    </xf>
    <xf numFmtId="0" fontId="19" fillId="0" borderId="12" xfId="0" applyFont="1" applyBorder="1" applyNumberFormat="1">
      <alignment horizontal="left" vertical="center" wrapText="1"/>
    </xf>
    <xf numFmtId="0" fontId="0" fillId="0" borderId="12" xfId="0" applyFont="1" applyBorder="1" applyNumberFormat="1">
      <alignment horizontal="center" vertical="center" wrapText="1"/>
    </xf>
    <xf numFmtId="0" fontId="0" fillId="0" borderId="13" xfId="0" applyFont="1" applyBorder="1" applyNumberFormat="1">
      <alignment horizontal="center" vertical="center" wrapText="1"/>
    </xf>
    <xf numFmtId="49" fontId="19" fillId="0" borderId="0" xfId="0" applyFont="1" applyNumberFormat="1">
      <alignment horizontal="left" vertical="center" indent="1"/>
    </xf>
    <xf numFmtId="174" fontId="0" fillId="38" borderId="14" xfId="0" applyFont="1" applyFill="1" applyBorder="1" applyNumberFormat="1">
      <alignment horizontal="left" vertical="center" wrapText="1"/>
      <protection locked="0"/>
    </xf>
    <xf numFmtId="174" fontId="0" fillId="0" borderId="11" xfId="0" applyFont="1" applyBorder="1" applyNumberFormat="1">
      <alignment horizontal="left" vertical="center" wrapText="1" indent="1"/>
    </xf>
    <xf numFmtId="49" fontId="19" fillId="34" borderId="26" xfId="0" applyFont="1" applyFill="1" applyBorder="1" applyNumberFormat="1">
      <alignment horizontal="right" vertical="center" wrapText="1" indent="1"/>
    </xf>
    <xf numFmtId="49" fontId="36" fillId="0" borderId="0" xfId="0" applyFont="1" applyNumberFormat="1">
      <alignment vertical="center" wrapText="1"/>
    </xf>
    <xf numFmtId="49" fontId="0"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19" fillId="0" borderId="0" xfId="0" applyFont="1" applyNumberFormat="1">
      <alignment vertical="top" wrapText="1"/>
    </xf>
    <xf numFmtId="49" fontId="19" fillId="0" borderId="0" xfId="0" applyFont="1" applyNumberFormat="1">
      <alignment vertical="top"/>
    </xf>
    <xf numFmtId="49" fontId="19" fillId="0" borderId="0" xfId="0" applyFont="1" applyNumberFormat="1">
      <alignment vertical="top"/>
    </xf>
    <xf numFmtId="49" fontId="19" fillId="0" borderId="12" xfId="0" applyFont="1" applyBorder="1" applyNumberFormat="1">
      <alignment horizontal="center" vertical="center" wrapText="1"/>
    </xf>
    <xf numFmtId="49" fontId="19" fillId="0" borderId="19" xfId="0" applyFont="1" applyBorder="1" applyNumberFormat="1">
      <alignment horizontal="center" vertical="center" wrapText="1"/>
    </xf>
    <xf numFmtId="0" fontId="19" fillId="39" borderId="36" xfId="0" applyFont="1" applyFill="1" applyBorder="1" applyNumberFormat="1">
      <alignment horizontal="center" vertical="top" wrapText="1"/>
    </xf>
    <xf numFmtId="49" fontId="19" fillId="0" borderId="19" xfId="0" applyFont="1" applyBorder="1" applyNumberFormat="1">
      <alignment horizontal="left" vertical="center" wrapText="1"/>
    </xf>
    <xf numFmtId="49" fontId="19" fillId="0" borderId="0" xfId="0" applyFont="1" applyNumberFormat="1">
      <alignment horizontal="center" vertical="center" wrapText="1"/>
    </xf>
    <xf numFmtId="49" fontId="19" fillId="39" borderId="36" xfId="0" applyFont="1" applyFill="1" applyBorder="1" applyNumberFormat="1">
      <alignment horizontal="center" vertical="center" wrapText="1"/>
    </xf>
    <xf numFmtId="0" fontId="29" fillId="0" borderId="0" xfId="0" applyFont="1" applyNumberFormat="1">
      <alignment horizontal="left" vertical="center"/>
    </xf>
    <xf numFmtId="49" fontId="19" fillId="0" borderId="19" xfId="0" applyFont="1" applyBorder="1" applyNumberFormat="1">
      <alignment horizontal="left" vertical="center" wrapText="1"/>
    </xf>
    <xf numFmtId="49" fontId="19" fillId="0" borderId="0" xfId="0" applyFont="1" applyNumberFormat="1">
      <alignment horizontal="left" vertical="center" wrapText="1"/>
    </xf>
    <xf numFmtId="49" fontId="19" fillId="34" borderId="0" xfId="0" applyFont="1" applyFill="1" applyNumberFormat="1">
      <alignment horizontal="center" vertical="center" wrapTex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0" fontId="34" fillId="0" borderId="12" xfId="0" applyFont="1" applyBorder="1" applyNumberFormat="1">
      <alignment horizontal="center" vertical="center"/>
    </xf>
    <xf numFmtId="49" fontId="0" fillId="38" borderId="12" xfId="0" applyFont="1" applyFill="1" applyBorder="1" applyNumberFormat="1">
      <alignment horizontal="left" vertical="center" wrapText="1"/>
      <protection locked="0"/>
    </xf>
    <xf numFmtId="0" fontId="36" fillId="0" borderId="0" xfId="0" applyFont="1" applyNumberFormat="1">
      <alignment horizontal="center" vertical="top"/>
    </xf>
    <xf numFmtId="49" fontId="19" fillId="0" borderId="36" xfId="0" applyFont="1" applyBorder="1" applyNumberFormat="1">
      <alignment horizontal="center" vertical="top" wrapText="1"/>
    </xf>
    <xf numFmtId="0" fontId="19" fillId="0" borderId="12" xfId="0" applyFont="1" applyBorder="1" applyNumberFormat="1">
      <alignment horizontal="left" vertical="center" wrapText="1"/>
    </xf>
    <xf numFmtId="0" fontId="24" fillId="0" borderId="12" xfId="0" applyFont="1" applyBorder="1" applyNumberFormat="1">
      <alignment horizontal="center" vertical="center" wrapText="1"/>
    </xf>
    <xf numFmtId="49" fontId="29" fillId="36" borderId="51" xfId="0" applyFont="1" applyFill="1" applyBorder="1" applyNumberFormat="1">
      <alignment horizontal="left" vertical="center" indent="1"/>
    </xf>
    <xf numFmtId="49" fontId="19" fillId="35" borderId="12" xfId="0" applyFont="1" applyFill="1" applyBorder="1" applyNumberFormat="1">
      <alignment horizontal="left" vertical="center" wrapText="1"/>
      <protection locked="0"/>
    </xf>
    <xf numFmtId="49" fontId="37" fillId="0" borderId="12" xfId="0" applyFont="1" applyBorder="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0" fontId="19" fillId="0" borderId="12" xfId="0" applyFont="1" applyBorder="1" applyNumberFormat="1">
      <alignment horizontal="center" vertical="center" wrapText="1"/>
    </xf>
    <xf numFmtId="0" fontId="36" fillId="0" borderId="0" xfId="0" applyFont="1" applyNumberFormat="1">
      <alignment horizontal="center" vertical="center" wrapText="1"/>
    </xf>
    <xf numFmtId="0" fontId="0" fillId="0" borderId="12" xfId="0" applyFont="1" applyBorder="1" applyNumberFormat="1">
      <alignment horizontal="left" vertical="center" wrapText="1"/>
    </xf>
    <xf numFmtId="0" fontId="19" fillId="0" borderId="36" xfId="0" applyFont="1" applyBorder="1" applyNumberFormat="1">
      <alignment horizontal="center" vertical="center" wrapText="1"/>
    </xf>
    <xf numFmtId="0" fontId="19" fillId="34" borderId="14" xfId="0" applyFont="1" applyFill="1" applyBorder="1" applyNumberFormat="1">
      <alignment horizontal="center" vertical="center" wrapText="1"/>
    </xf>
    <xf numFmtId="49" fontId="0"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19" fillId="39" borderId="14" xfId="0" applyFont="1" applyFill="1" applyBorder="1" applyNumberFormat="1">
      <alignment horizontal="left" vertical="center" wrapText="1"/>
    </xf>
    <xf numFmtId="0" fontId="19" fillId="0" borderId="23" xfId="0" applyFont="1" applyBorder="1" applyNumberFormat="1">
      <alignment horizontal="center" vertical="center" wrapText="1"/>
    </xf>
    <xf numFmtId="0" fontId="34" fillId="0" borderId="13" xfId="0" applyFont="1" applyBorder="1" applyNumberFormat="1">
      <alignment horizontal="center" vertical="center"/>
    </xf>
    <xf numFmtId="49" fontId="0" fillId="37" borderId="0" xfId="0" applyFont="1" applyFill="1" applyNumberFormat="1">
      <alignment vertical="top"/>
    </xf>
    <xf numFmtId="0" fontId="25" fillId="34" borderId="0" xfId="0" applyFont="1" applyFill="1" applyNumberFormat="1">
      <alignment horizontal="center" vertical="center" wrapText="1"/>
    </xf>
    <xf numFmtId="0" fontId="25" fillId="34" borderId="0" xfId="0" applyFont="1" applyFill="1" applyNumberFormat="1">
      <alignment horizontal="center"/>
    </xf>
    <xf numFmtId="0" fontId="25" fillId="0" borderId="0" xfId="0" applyFont="1" applyNumberFormat="1">
      <alignment horizontal="center" vertical="center" wrapText="1"/>
    </xf>
    <xf numFmtId="0" fontId="31" fillId="0" borderId="0" xfId="0" applyFont="1" applyNumberFormat="1">
      <alignment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19" fillId="0" borderId="0" xfId="0" applyFont="1" applyNumberFormat="1">
      <alignment vertical="top"/>
    </xf>
    <xf numFmtId="0" fontId="25" fillId="34" borderId="0" xfId="0" applyFont="1" applyFill="1" applyNumberFormat="1">
      <alignment vertical="top" wrapText="1"/>
    </xf>
    <xf numFmtId="49" fontId="112" fillId="38" borderId="12" xfId="0" applyFont="1" applyFill="1" applyBorder="1" applyNumberFormat="1">
      <alignment horizontal="left" vertical="center" wrapText="1"/>
      <protection locked="0"/>
    </xf>
    <xf numFmtId="49" fontId="25" fillId="0" borderId="0" xfId="0" applyFont="1" applyNumberFormat="1">
      <alignment horizontal="center" vertical="center" wrapText="1"/>
    </xf>
    <xf numFmtId="0" fontId="25" fillId="0" borderId="24" xfId="0" applyFont="1" applyBorder="1" applyNumberFormat="1">
      <alignment horizontal="center" vertical="center" wrapText="1"/>
    </xf>
    <xf numFmtId="49" fontId="113" fillId="0" borderId="0" xfId="0" applyFont="1" applyNumberFormat="1">
      <alignment horizontal="center" vertical="top" wrapText="1"/>
    </xf>
    <xf numFmtId="49" fontId="0" fillId="33" borderId="36" xfId="0" applyFont="1" applyFill="1" applyBorder="1" applyNumberFormat="1">
      <alignment vertical="top"/>
    </xf>
    <xf numFmtId="49" fontId="0" fillId="0" borderId="36" xfId="0" applyFont="1" applyBorder="1" applyNumberFormat="1">
      <alignment vertical="top"/>
    </xf>
    <xf numFmtId="49" fontId="0" fillId="38" borderId="36" xfId="0" applyFont="1" applyFill="1" applyBorder="1" applyNumberFormat="1">
      <alignment vertical="top"/>
      <protection locked="0"/>
    </xf>
    <xf numFmtId="49" fontId="0" fillId="38" borderId="17" xfId="0" applyFont="1" applyFill="1" applyBorder="1" applyNumberFormat="1">
      <alignment vertical="top"/>
      <protection locked="0"/>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pplyNumberFormat="1">
      <alignment vertical="center"/>
    </xf>
    <xf numFmtId="0" fontId="25" fillId="0" borderId="0" xfId="0" applyFont="1" applyNumberFormat="1">
      <alignment horizontal="center" vertical="center" wrapText="1"/>
    </xf>
    <xf numFmtId="49" fontId="0" fillId="38"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0" fillId="36" borderId="15" xfId="0" applyFont="1" applyFill="1" applyBorder="1" applyNumberFormat="1">
      <alignment vertical="center"/>
    </xf>
    <xf numFmtId="49" fontId="0" fillId="0" borderId="36" xfId="0" applyFont="1" applyBorder="1" applyNumberFormat="1">
      <alignment horizontal="left" vertical="top"/>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0" fillId="39" borderId="36" xfId="0" applyFont="1" applyFill="1" applyBorder="1" applyNumberFormat="1">
      <alignment horizontal="left" vertical="center" wrapText="1"/>
      <protection locked="0"/>
    </xf>
    <xf numFmtId="49" fontId="0" fillId="0" borderId="0" xfId="0" applyFont="1" applyNumberFormat="1">
      <alignment vertical="top"/>
    </xf>
    <xf numFmtId="49" fontId="0" fillId="35"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pplyNumberFormat="1">
      <alignment vertical="center"/>
    </xf>
    <xf numFmtId="0" fontId="0" fillId="0" borderId="27" xfId="0" applyFont="1" applyBorder="1" applyNumberFormat="1">
      <alignment vertical="center"/>
    </xf>
    <xf numFmtId="49" fontId="25" fillId="0" borderId="36" xfId="0" applyFont="1" applyBorder="1" applyNumberFormat="1">
      <alignment vertical="center" wrapText="1"/>
    </xf>
    <xf numFmtId="49" fontId="25" fillId="0" borderId="36" xfId="0" applyFont="1" applyBorder="1" applyNumberFormat="1">
      <alignment horizontal="center" vertical="center" wrapText="1"/>
    </xf>
    <xf numFmtId="49" fontId="25" fillId="0" borderId="19" xfId="0" applyFont="1" applyBorder="1" applyNumberFormat="1">
      <alignment vertical="center" wrapText="1"/>
    </xf>
    <xf numFmtId="49" fontId="25" fillId="0" borderId="0" xfId="0" applyFont="1" applyNumberFormat="1">
      <alignment vertical="center" wrapText="1"/>
    </xf>
    <xf numFmtId="49" fontId="25" fillId="0" borderId="0" xfId="0" applyFont="1" applyNumberFormat="1">
      <alignment horizontal="center" vertical="center" wrapText="1"/>
    </xf>
    <xf numFmtId="0" fontId="19" fillId="38" borderId="12" xfId="0" applyFont="1" applyFill="1" applyBorder="1" applyNumberFormat="1">
      <alignment horizontal="left" vertical="center" wrapText="1"/>
      <protection locked="0"/>
    </xf>
    <xf numFmtId="0" fontId="19" fillId="34" borderId="23" xfId="0" applyFont="1" applyFill="1" applyBorder="1" applyNumberFormat="1">
      <alignment horizontal="center" vertical="center" wrapText="1"/>
    </xf>
    <xf numFmtId="0" fontId="19" fillId="0" borderId="36" xfId="0" applyFont="1" applyBorder="1" applyNumberFormat="1">
      <alignment horizontal="left" vertical="top" wrapText="1"/>
    </xf>
    <xf numFmtId="0" fontId="0" fillId="0" borderId="13" xfId="0" applyFont="1" applyBorder="1" applyNumberFormat="1">
      <alignment horizontal="center" vertical="center" wrapText="1"/>
    </xf>
    <xf numFmtId="4" fontId="0" fillId="38" borderId="13" xfId="0" applyFont="1" applyFill="1" applyBorder="1" applyNumberFormat="1">
      <alignment horizontal="right" vertical="center" wrapText="1"/>
      <protection locked="0"/>
    </xf>
    <xf numFmtId="0" fontId="0" fillId="0" borderId="13" xfId="0" applyFont="1" applyBorder="1" applyNumberFormat="1">
      <alignment horizontal="center" vertical="center" wrapText="1"/>
    </xf>
    <xf numFmtId="0" fontId="19" fillId="39" borderId="12" xfId="0" applyFont="1" applyFill="1" applyBorder="1" applyNumberFormat="1">
      <alignment horizontal="left" vertical="center" wrapText="1"/>
    </xf>
    <xf numFmtId="49" fontId="0" fillId="34" borderId="17" xfId="0" applyFont="1" applyFill="1" applyBorder="1" applyNumberFormat="1">
      <alignment horizontal="center" vertical="center" wrapText="1"/>
    </xf>
    <xf numFmtId="0" fontId="0" fillId="0" borderId="23" xfId="0" applyFont="1" applyBorder="1" applyNumberFormat="1">
      <alignment horizontal="center" vertical="center" wrapText="1"/>
    </xf>
    <xf numFmtId="0" fontId="19" fillId="39" borderId="14" xfId="0" applyFont="1" applyFill="1" applyBorder="1" applyNumberFormat="1">
      <alignment horizontal="left" vertical="center" wrapText="1"/>
    </xf>
    <xf numFmtId="49" fontId="0" fillId="0" borderId="12" xfId="0" applyFont="1" applyBorder="1" applyNumberFormat="1">
      <alignment horizontal="center" vertical="center" wrapText="1"/>
    </xf>
    <xf numFmtId="49" fontId="34" fillId="53" borderId="0" xfId="0" applyFont="1" applyFill="1" applyNumberFormat="1">
      <alignment vertical="center" wrapText="1"/>
    </xf>
    <xf numFmtId="0" fontId="36" fillId="0" borderId="0" xfId="0" applyFont="1" applyNumberFormat="1">
      <alignment vertical="top" wrapText="1"/>
    </xf>
    <xf numFmtId="49" fontId="20" fillId="0" borderId="0" xfId="0" applyFont="1" applyNumberFormat="1">
      <alignment horizontal="center" vertical="top" wrapText="1"/>
    </xf>
    <xf numFmtId="49" fontId="19" fillId="0" borderId="0" xfId="0" applyFont="1" applyNumberFormat="1">
      <alignment horizontal="center" vertical="top" wrapText="1"/>
    </xf>
    <xf numFmtId="49" fontId="19" fillId="34" borderId="0" xfId="0" applyFont="1" applyFill="1" applyNumberFormat="1">
      <alignment horizontal="center" vertical="top" wrapText="1"/>
    </xf>
    <xf numFmtId="0" fontId="0" fillId="0" borderId="36"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left" vertical="center" wrapText="1"/>
    </xf>
    <xf numFmtId="0" fontId="19" fillId="0" borderId="12" xfId="0" applyFont="1" applyBorder="1" applyNumberFormat="1">
      <alignment horizontal="center" vertical="center" wrapText="1"/>
    </xf>
    <xf numFmtId="0" fontId="36" fillId="0" borderId="0" xfId="0" applyFont="1" applyNumberFormat="1">
      <alignment horizontal="center" vertical="center" wrapText="1"/>
    </xf>
    <xf numFmtId="0" fontId="36" fillId="0" borderId="12" xfId="0" applyFont="1" applyBorder="1" applyNumberFormat="1">
      <alignment horizontal="center" vertical="center" wrapText="1"/>
    </xf>
    <xf numFmtId="0" fontId="19" fillId="38" borderId="12" xfId="0" applyFont="1" applyFill="1" applyBorder="1" applyNumberFormat="1">
      <alignment horizontal="center" vertical="center" wrapText="1"/>
      <protection locked="0"/>
    </xf>
    <xf numFmtId="49" fontId="19" fillId="33" borderId="12" xfId="0" applyFont="1" applyFill="1" applyBorder="1" applyNumberFormat="1">
      <alignment horizontal="center" vertical="center" wrapText="1"/>
    </xf>
    <xf numFmtId="0" fontId="0" fillId="0" borderId="12" xfId="0" applyFont="1" applyBorder="1" applyNumberFormat="1">
      <alignment horizontal="left" vertical="top" wrapText="1"/>
    </xf>
    <xf numFmtId="14" fontId="19" fillId="39" borderId="12" xfId="0" applyFont="1" applyFill="1" applyBorder="1" applyNumberFormat="1">
      <alignment horizontal="left" vertical="center" wrapText="1" indent="1"/>
    </xf>
    <xf numFmtId="0" fontId="35" fillId="45" borderId="62" xfId="0" applyFont="1" applyFill="1" applyBorder="1" applyNumberFormat="1">
      <alignment horizontal="right" vertical="center" wrapText="1" indent="1"/>
    </xf>
    <xf numFmtId="0" fontId="35" fillId="45" borderId="65" xfId="0" applyFont="1" applyFill="1" applyBorder="1" applyNumberFormat="1">
      <alignment horizontal="right" vertical="center" wrapText="1" indent="1"/>
    </xf>
    <xf numFmtId="0" fontId="35" fillId="45" borderId="38" xfId="0" applyFont="1" applyFill="1" applyBorder="1" applyNumberFormat="1">
      <alignment horizontal="right" vertical="center" wrapText="1" indent="1"/>
    </xf>
    <xf numFmtId="0" fontId="35" fillId="45" borderId="0" xfId="0" applyFont="1" applyFill="1" applyNumberFormat="1">
      <alignment horizontal="right" vertical="center" wrapText="1" indent="1"/>
    </xf>
    <xf numFmtId="0" fontId="110" fillId="0" borderId="0" xfId="0" applyFont="1" applyNumberFormat="1">
      <alignment vertical="center" wrapText="1"/>
    </xf>
    <xf numFmtId="0" fontId="35" fillId="45" borderId="66" xfId="0" applyFont="1" applyFill="1" applyBorder="1" applyNumberFormat="1">
      <alignment horizontal="right" vertical="center" wrapText="1" indent="1"/>
    </xf>
    <xf numFmtId="0" fontId="35" fillId="45" borderId="64" xfId="0" applyFont="1" applyFill="1" applyBorder="1" applyNumberFormat="1">
      <alignment horizontal="right" vertical="center" wrapText="1" indent="1"/>
    </xf>
    <xf numFmtId="0" fontId="35" fillId="45" borderId="39" xfId="0" applyFont="1" applyFill="1" applyBorder="1" applyNumberFormat="1">
      <alignment horizontal="right" vertical="center" wrapText="1" indent="1"/>
    </xf>
    <xf numFmtId="0" fontId="110" fillId="0" borderId="0" xfId="0" applyFont="1" applyNumberFormat="1">
      <alignment vertical="top" wrapText="1"/>
    </xf>
    <xf numFmtId="49" fontId="56" fillId="0" borderId="0" xfId="0" applyFont="1" applyNumberFormat="1">
      <alignment vertical="top" wrapText="1"/>
    </xf>
    <xf numFmtId="0" fontId="92" fillId="0" borderId="0" xfId="0" applyFont="1" applyNumberFormat="1">
      <alignment vertical="center" wrapText="1"/>
    </xf>
    <xf numFmtId="0" fontId="92" fillId="0" borderId="0" xfId="0" applyFont="1" applyNumberFormat="1">
      <alignment vertical="center"/>
    </xf>
    <xf numFmtId="0" fontId="35" fillId="54" borderId="67" xfId="0" applyFont="1" applyFill="1" applyBorder="1" applyNumberFormat="1">
      <alignment horizontal="center" vertical="center" wrapText="1"/>
    </xf>
    <xf numFmtId="0" fontId="35" fillId="54" borderId="68" xfId="0" applyFont="1" applyFill="1" applyBorder="1" applyNumberFormat="1">
      <alignment horizontal="center" vertical="center" wrapText="1"/>
    </xf>
    <xf numFmtId="0" fontId="35" fillId="54" borderId="69" xfId="0" applyFont="1" applyFill="1" applyBorder="1" applyNumberFormat="1">
      <alignment horizontal="center" vertical="center" wrapText="1"/>
    </xf>
    <xf numFmtId="0" fontId="110" fillId="0" borderId="38" xfId="0" applyFont="1" applyBorder="1" applyNumberFormat="1">
      <alignment vertical="center" wrapText="1"/>
    </xf>
    <xf numFmtId="0" fontId="110" fillId="0" borderId="38" xfId="0" applyFont="1" applyBorder="1" applyNumberFormat="1">
      <alignment horizontal="left" vertical="center" wrapText="1"/>
    </xf>
    <xf numFmtId="0" fontId="110" fillId="0" borderId="0" xfId="0" applyFont="1" applyNumberFormat="1">
      <alignment horizontal="left" vertical="center" wrapText="1"/>
    </xf>
    <xf numFmtId="0" fontId="19" fillId="0" borderId="13" xfId="0" applyFont="1" applyBorder="1" applyNumberFormat="1">
      <alignment horizontal="center" vertical="center" wrapText="1"/>
    </xf>
    <xf numFmtId="0" fontId="19" fillId="0" borderId="14" xfId="0" applyFont="1" applyBorder="1" applyNumberFormat="1">
      <alignment horizontal="center" vertical="center" wrapText="1"/>
    </xf>
    <xf numFmtId="0" fontId="86" fillId="0" borderId="0" xfId="0" applyFont="1" applyNumberFormat="1">
      <alignment horizontal="left" vertical="center" wrapText="1"/>
    </xf>
    <xf numFmtId="14" fontId="83" fillId="0" borderId="12" xfId="0" applyFont="1" applyBorder="1" applyNumberFormat="1">
      <alignment horizontal="center" vertical="center" wrapText="1"/>
    </xf>
    <xf numFmtId="0" fontId="19" fillId="0" borderId="0" xfId="0" applyFont="1" applyNumberFormat="1">
      <alignment horizontal="center" vertical="center" wrapText="1"/>
    </xf>
    <xf numFmtId="0" fontId="19" fillId="0" borderId="15" xfId="0" applyFont="1" applyBorder="1" applyNumberFormat="1">
      <alignment horizontal="left" vertical="center" wrapText="1" inden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4" fontId="19" fillId="0" borderId="12" xfId="0" applyFont="1" applyBorder="1" applyNumberFormat="1">
      <alignment horizontal="center" vertical="center" wrapText="1"/>
    </xf>
    <xf numFmtId="49" fontId="24" fillId="0" borderId="70" xfId="0" applyFont="1" applyBorder="1" applyNumberFormat="1">
      <alignment horizontal="center" vertical="center" wrapText="1"/>
    </xf>
    <xf numFmtId="49" fontId="24" fillId="0" borderId="71" xfId="0" applyFont="1" applyBorder="1" applyNumberFormat="1">
      <alignment horizontal="center" vertical="center" wrapText="1"/>
    </xf>
    <xf numFmtId="49" fontId="24" fillId="0" borderId="14" xfId="0" applyFont="1" applyBorder="1" applyNumberFormat="1">
      <alignment horizontal="center" vertical="center" wrapText="1"/>
    </xf>
    <xf numFmtId="49" fontId="24" fillId="0" borderId="13" xfId="0" applyFont="1" applyBorder="1" applyNumberFormat="1">
      <alignment horizontal="center"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19" fillId="0" borderId="29" xfId="0" applyFont="1" applyBorder="1" applyNumberFormat="1">
      <alignment horizontal="left" vertical="center" indent="1"/>
    </xf>
    <xf numFmtId="0" fontId="19" fillId="0" borderId="23" xfId="0" applyFont="1" applyBorder="1" applyNumberFormat="1">
      <alignment horizontal="left" vertical="center" indent="1"/>
    </xf>
    <xf numFmtId="0" fontId="19" fillId="0" borderId="30" xfId="0" applyFont="1" applyBorder="1" applyNumberFormat="1">
      <alignment horizontal="left" vertical="center" indent="1"/>
    </xf>
    <xf numFmtId="0" fontId="19" fillId="0" borderId="0" xfId="0" applyFont="1" applyNumberFormat="1">
      <alignment horizontal="center" vertical="center" wrapText="1"/>
    </xf>
    <xf numFmtId="0" fontId="19" fillId="41" borderId="0" xfId="0" applyFont="1" applyFill="1" applyNumberFormat="1">
      <alignment horizontal="center" vertical="center" wrapText="1"/>
    </xf>
    <xf numFmtId="0" fontId="19" fillId="0" borderId="12" xfId="0" applyFont="1" applyBorder="1" applyNumberFormat="1">
      <alignment horizontal="center" vertical="center" wrapText="1"/>
    </xf>
    <xf numFmtId="0" fontId="65" fillId="0" borderId="37" xfId="0" applyFont="1" applyBorder="1" applyNumberFormat="1">
      <alignment horizontal="center" vertical="center" wrapText="1"/>
    </xf>
    <xf numFmtId="0" fontId="65" fillId="0" borderId="19" xfId="0" applyFont="1" applyBorder="1" applyNumberFormat="1">
      <alignment horizontal="center" vertical="center" wrapText="1"/>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65" fillId="0" borderId="12" xfId="0" applyFont="1" applyBorder="1" applyNumberFormat="1">
      <alignment horizontal="center" vertical="center" wrapText="1"/>
    </xf>
    <xf numFmtId="0" fontId="19" fillId="0" borderId="72" xfId="0" applyFont="1" applyBorder="1" applyNumberFormat="1">
      <alignment horizontal="center" vertical="center" wrapText="1"/>
    </xf>
    <xf numFmtId="0" fontId="19" fillId="0" borderId="73" xfId="0" applyFont="1" applyBorder="1" applyNumberFormat="1">
      <alignment horizontal="center" vertical="center" wrapText="1"/>
    </xf>
    <xf numFmtId="0" fontId="19" fillId="39" borderId="17" xfId="0" applyFont="1" applyFill="1" applyBorder="1" applyNumberFormat="1">
      <alignment horizontal="left" vertical="center" wrapText="1" indent="1"/>
      <protection locked="0"/>
    </xf>
    <xf numFmtId="0" fontId="19" fillId="39" borderId="23" xfId="0" applyFont="1" applyFill="1" applyBorder="1" applyNumberFormat="1">
      <alignment horizontal="left" vertical="center" wrapText="1" indent="1"/>
      <protection locked="0"/>
    </xf>
    <xf numFmtId="49" fontId="19" fillId="39"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19" fillId="39" borderId="17" xfId="0" applyFont="1" applyFill="1" applyBorder="1" applyNumberFormat="1">
      <alignment horizontal="left" vertical="center" wrapText="1" indent="2"/>
    </xf>
    <xf numFmtId="0" fontId="19" fillId="39" borderId="36" xfId="0" applyFont="1" applyFill="1" applyBorder="1" applyNumberFormat="1">
      <alignment horizontal="left" vertical="center" wrapText="1" indent="2"/>
    </xf>
    <xf numFmtId="0" fontId="19" fillId="39" borderId="23" xfId="0" applyFont="1" applyFill="1" applyBorder="1" applyNumberFormat="1">
      <alignment horizontal="left" vertical="center" wrapText="1" indent="2"/>
    </xf>
    <xf numFmtId="49" fontId="19" fillId="39" borderId="23" xfId="0" applyFont="1" applyFill="1" applyBorder="1" applyNumberFormat="1">
      <alignment horizontal="center" vertical="center" wrapText="1"/>
    </xf>
    <xf numFmtId="14" fontId="71" fillId="0" borderId="74" xfId="0" applyFont="1" applyBorder="1" applyNumberFormat="1">
      <alignment horizontal="center" vertical="center" wrapText="1"/>
    </xf>
    <xf numFmtId="0" fontId="19" fillId="0" borderId="74" xfId="0" applyFont="1" applyBorder="1" applyNumberFormat="1">
      <alignment horizontal="center"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0" fontId="0" fillId="0" borderId="12" xfId="0" applyFont="1" applyBorder="1" applyNumberFormat="1">
      <alignment horizontal="center" vertical="top"/>
    </xf>
    <xf numFmtId="49" fontId="0" fillId="0" borderId="12" xfId="0" applyFont="1" applyBorder="1" applyNumberFormat="1">
      <alignment vertical="top"/>
    </xf>
    <xf numFmtId="0" fontId="19" fillId="0" borderId="12" xfId="0" applyFont="1" applyBorder="1" applyNumberFormat="1">
      <alignment horizontal="left" vertical="top" wrapText="1"/>
    </xf>
    <xf numFmtId="49" fontId="0" fillId="0" borderId="12" xfId="0" applyFont="1" applyBorder="1" applyNumberFormat="1">
      <alignment horizontal="left" vertical="top"/>
    </xf>
    <xf numFmtId="0" fontId="19" fillId="39" borderId="17" xfId="0" applyFont="1" applyFill="1" applyBorder="1" applyNumberFormat="1">
      <alignment horizontal="center" vertical="top" wrapText="1"/>
    </xf>
    <xf numFmtId="0" fontId="19" fillId="39" borderId="36" xfId="0" applyFont="1" applyFill="1" applyBorder="1" applyNumberFormat="1">
      <alignment horizontal="center" vertical="top" wrapText="1"/>
    </xf>
    <xf numFmtId="0" fontId="19" fillId="39" borderId="23"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0" fontId="0" fillId="0" borderId="19" xfId="0" applyFont="1" applyBorder="1" applyNumberFormat="1">
      <alignment horizontal="center" vertical="center"/>
    </xf>
    <xf numFmtId="0" fontId="0" fillId="0" borderId="0" xfId="0" applyFont="1" applyNumberFormat="1">
      <alignment horizontal="center" vertical="center"/>
    </xf>
    <xf numFmtId="49" fontId="19" fillId="0" borderId="19" xfId="0" applyFont="1" applyBorder="1" applyNumberFormat="1">
      <alignment horizontal="left" vertical="center" wrapText="1"/>
    </xf>
    <xf numFmtId="49" fontId="19" fillId="0" borderId="0" xfId="0" applyFont="1" applyNumberFormat="1">
      <alignment horizontal="left" vertical="center" wrapText="1"/>
    </xf>
    <xf numFmtId="49" fontId="0" fillId="0" borderId="0" xfId="0" applyFont="1" applyNumberFormat="1">
      <alignment horizontal="left" vertical="top"/>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17" xfId="0" applyFont="1" applyBorder="1" applyNumberFormat="1">
      <alignment horizontal="center" vertical="top"/>
    </xf>
    <xf numFmtId="0" fontId="0" fillId="0" borderId="36" xfId="0" applyFont="1" applyBorder="1" applyNumberFormat="1">
      <alignment horizontal="center" vertical="top"/>
    </xf>
    <xf numFmtId="0" fontId="0" fillId="0" borderId="23" xfId="0" applyFont="1" applyBorder="1" applyNumberFormat="1">
      <alignment horizontal="center" vertical="top"/>
    </xf>
    <xf numFmtId="0" fontId="19" fillId="0" borderId="17" xfId="0" applyFont="1" applyBorder="1" applyNumberFormat="1">
      <alignment horizontal="left" vertical="top" wrapText="1"/>
    </xf>
    <xf numFmtId="0" fontId="19" fillId="0" borderId="36" xfId="0" applyFont="1" applyBorder="1" applyNumberFormat="1">
      <alignment horizontal="left" vertical="top" wrapText="1"/>
    </xf>
    <xf numFmtId="0" fontId="19" fillId="0" borderId="23" xfId="0" applyFont="1" applyBorder="1" applyNumberFormat="1">
      <alignment horizontal="left" vertical="top" wrapText="1"/>
    </xf>
    <xf numFmtId="49" fontId="37" fillId="34" borderId="27" xfId="0" applyFont="1" applyFill="1" applyBorder="1" applyNumberFormat="1">
      <alignment horizontal="center" vertical="center"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63" fillId="0" borderId="24" xfId="0" applyFont="1" applyBorder="1" applyNumberFormat="1">
      <alignment horizontal="left" vertical="center" wrapText="1" indent="1"/>
    </xf>
    <xf numFmtId="0" fontId="63" fillId="0" borderId="36" xfId="0" applyFont="1" applyBorder="1" applyNumberFormat="1">
      <alignment horizontal="left" vertical="center" wrapText="1" indent="1"/>
    </xf>
    <xf numFmtId="0" fontId="63" fillId="0" borderId="22" xfId="0" applyFont="1" applyBorder="1" applyNumberFormat="1">
      <alignment horizontal="left" vertical="center" wrapText="1" indent="1"/>
    </xf>
    <xf numFmtId="0" fontId="19" fillId="0" borderId="27" xfId="0" applyFont="1" applyBorder="1" applyNumberFormat="1">
      <alignment horizontal="left" vertical="center" indent="1"/>
    </xf>
    <xf numFmtId="0" fontId="0" fillId="0" borderId="12" xfId="0" applyFont="1" applyBorder="1" applyNumberFormat="1">
      <alignment horizontal="center" vertical="center" wrapText="1"/>
    </xf>
    <xf numFmtId="0" fontId="19" fillId="0" borderId="19" xfId="0" applyFont="1" applyBorder="1" applyNumberFormat="1">
      <alignment horizontal="left" vertical="center" wrapText="1" inden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24"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30" xfId="0" applyFont="1" applyBorder="1" applyNumberFormat="1">
      <alignment horizontal="center" vertical="center" wrapText="1"/>
    </xf>
    <xf numFmtId="0" fontId="19" fillId="0" borderId="29" xfId="0" applyFont="1" applyBorder="1" applyNumberFormat="1">
      <alignment horizontal="center" vertical="center" wrapText="1"/>
    </xf>
    <xf numFmtId="49" fontId="19" fillId="0" borderId="12" xfId="0" applyFont="1" applyBorder="1" applyNumberFormat="1">
      <alignment horizontal="center" vertical="center"/>
    </xf>
    <xf numFmtId="49" fontId="19" fillId="0" borderId="17" xfId="0" applyFont="1" applyBorder="1" applyNumberFormat="1">
      <alignment horizontal="center" vertical="center"/>
    </xf>
    <xf numFmtId="0" fontId="19" fillId="0" borderId="12" xfId="0" applyFont="1" applyBorder="1" applyNumberFormat="1">
      <alignment horizontal="left" vertical="center" wrapText="1"/>
    </xf>
    <xf numFmtId="0" fontId="19" fillId="0" borderId="17" xfId="0" applyFont="1" applyBorder="1" applyNumberFormat="1">
      <alignment horizontal="left" vertical="center" wrapText="1"/>
    </xf>
    <xf numFmtId="0" fontId="19" fillId="0" borderId="37" xfId="0" applyFont="1" applyBorder="1" applyNumberFormat="1">
      <alignment horizontal="left" vertical="center" wrapText="1"/>
    </xf>
    <xf numFmtId="49" fontId="19" fillId="39" borderId="17" xfId="0" applyFont="1" applyFill="1" applyBorder="1" applyNumberFormat="1">
      <alignment horizontal="center" vertical="center" wrapText="1"/>
    </xf>
    <xf numFmtId="49" fontId="19" fillId="39" borderId="36" xfId="0" applyFont="1" applyFill="1" applyBorder="1" applyNumberFormat="1">
      <alignment horizontal="center" vertical="center" wrapText="1"/>
    </xf>
    <xf numFmtId="0" fontId="19" fillId="0" borderId="19" xfId="0" applyFont="1" applyBorder="1" applyNumberFormat="1">
      <alignment horizontal="center" vertical="center"/>
    </xf>
    <xf numFmtId="0" fontId="19" fillId="0" borderId="0" xfId="0" applyFont="1" applyNumberFormat="1">
      <alignment horizontal="center" vertical="center"/>
    </xf>
    <xf numFmtId="0" fontId="29" fillId="0" borderId="27" xfId="0" applyFont="1" applyBorder="1" applyNumberFormat="1">
      <alignment horizontal="left" vertical="center"/>
    </xf>
    <xf numFmtId="0" fontId="29" fillId="0" borderId="29" xfId="0" applyFont="1" applyBorder="1" applyNumberFormat="1">
      <alignment horizontal="left" vertical="center"/>
    </xf>
    <xf numFmtId="0" fontId="29" fillId="0" borderId="0" xfId="0" applyFont="1" applyNumberFormat="1">
      <alignment horizontal="left" vertical="center"/>
    </xf>
    <xf numFmtId="0" fontId="29" fillId="0" borderId="24" xfId="0" applyFont="1" applyBorder="1" applyNumberFormat="1">
      <alignment horizontal="left" vertical="center"/>
    </xf>
    <xf numFmtId="0" fontId="19" fillId="0" borderId="14" xfId="0" applyFont="1" applyBorder="1" applyNumberFormat="1">
      <alignment horizontal="left" vertical="center" wrapText="1"/>
    </xf>
    <xf numFmtId="0" fontId="19" fillId="0" borderId="27" xfId="0" applyFont="1" applyBorder="1" applyNumberFormat="1">
      <alignment horizontal="left" vertical="center" wrapText="1" indent="1"/>
    </xf>
    <xf numFmtId="49" fontId="19" fillId="34" borderId="0" xfId="0" applyFont="1" applyFill="1" applyNumberFormat="1">
      <alignment horizontal="center" vertical="center" wrapText="1"/>
    </xf>
    <xf numFmtId="0" fontId="34" fillId="0" borderId="0" xfId="0" applyFont="1" applyNumberFormat="1">
      <alignment horizontal="right" vertical="top" wrapText="1"/>
    </xf>
    <xf numFmtId="49"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19" fillId="34" borderId="0" xfId="0" applyFont="1" applyFill="1" applyNumberFormat="1">
      <alignment horizontal="center" vertical="center" wrapText="1"/>
    </xf>
    <xf numFmtId="0" fontId="34" fillId="0" borderId="0" xfId="0" applyFont="1" applyNumberFormat="1">
      <alignment horizontal="left" vertical="top" wrapText="1" indent="1"/>
    </xf>
    <xf numFmtId="0" fontId="83" fillId="34" borderId="0" xfId="0" applyFont="1" applyFill="1" applyNumberFormat="1">
      <alignment horizontal="left" vertical="center" wrapText="1"/>
    </xf>
    <xf numFmtId="0" fontId="0"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19" fillId="34" borderId="17" xfId="0" applyFont="1" applyFill="1" applyBorder="1" applyNumberFormat="1">
      <alignment horizontal="left" vertical="top" wrapText="1"/>
    </xf>
    <xf numFmtId="0" fontId="19" fillId="34" borderId="36" xfId="0" applyFont="1" applyFill="1" applyBorder="1" applyNumberFormat="1">
      <alignment horizontal="left" vertical="top" wrapText="1"/>
    </xf>
    <xf numFmtId="0" fontId="19" fillId="34" borderId="23" xfId="0" applyFont="1" applyFill="1" applyBorder="1" applyNumberFormat="1">
      <alignment horizontal="left" vertical="top"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7" xfId="0" applyFont="1" applyBorder="1" applyNumberFormat="1">
      <alignment horizontal="left" vertical="top" wrapText="1"/>
    </xf>
    <xf numFmtId="0" fontId="0" fillId="0" borderId="23" xfId="0" applyFont="1" applyBorder="1" applyNumberFormat="1">
      <alignment horizontal="left" vertical="top"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36" fillId="0" borderId="0" xfId="0" applyFont="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19" fillId="0" borderId="19" xfId="0" applyFont="1" applyBorder="1" applyNumberFormat="1">
      <alignment horizontal="left" vertical="top" wrapText="1" inden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19" fillId="39" borderId="19" xfId="0" applyFont="1" applyFill="1" applyBorder="1" applyNumberFormat="1">
      <alignment horizontal="left" vertical="center" wrapText="1"/>
    </xf>
    <xf numFmtId="0" fontId="19" fillId="39" borderId="27" xfId="0" applyFont="1" applyFill="1" applyBorder="1" applyNumberFormat="1">
      <alignment horizontal="left" vertical="center" wrapText="1"/>
    </xf>
    <xf numFmtId="0" fontId="19" fillId="0" borderId="23" xfId="0" applyFont="1" applyBorder="1" applyNumberFormat="1">
      <alignment horizontal="center"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0" fillId="0" borderId="36" xfId="0" applyFont="1" applyBorder="1" applyNumberFormat="1">
      <alignment horizontal="left" vertical="top" wrapText="1"/>
    </xf>
    <xf numFmtId="0" fontId="19" fillId="39" borderId="14" xfId="0" applyFont="1" applyFill="1" applyBorder="1" applyNumberFormat="1">
      <alignment horizontal="left" vertical="center" wrapText="1"/>
    </xf>
    <xf numFmtId="0" fontId="19" fillId="39" borderId="15" xfId="0" applyFont="1" applyFill="1" applyBorder="1" applyNumberFormat="1">
      <alignment horizontal="left" vertical="center" wrapText="1"/>
    </xf>
    <xf numFmtId="0" fontId="19" fillId="39" borderId="13" xfId="0" applyFont="1" applyFill="1" applyBorder="1" applyNumberFormat="1">
      <alignment horizontal="left" vertical="center" wrapText="1"/>
    </xf>
    <xf numFmtId="0" fontId="0" fillId="34" borderId="12" xfId="0" applyFont="1" applyFill="1" applyBorder="1" applyNumberFormat="1">
      <alignment horizontal="right" vertical="center" wrapText="1" indent="1"/>
    </xf>
    <xf numFmtId="174" fontId="19" fillId="33" borderId="12" xfId="0" applyFont="1" applyFill="1" applyBorder="1" applyNumberFormat="1">
      <alignment horizontal="left" vertical="center" wrapText="1" indent="1"/>
    </xf>
    <xf numFmtId="0" fontId="19" fillId="33" borderId="12" xfId="0" applyFont="1" applyFill="1" applyBorder="1" applyNumberFormat="1">
      <alignment horizontal="left" vertical="center" wrapText="1" indent="1"/>
    </xf>
    <xf numFmtId="0" fontId="19" fillId="33" borderId="14" xfId="0" applyFont="1" applyFill="1" applyBorder="1" applyNumberFormat="1">
      <alignment horizontal="left" vertical="center" wrapText="1"/>
    </xf>
    <xf numFmtId="0" fontId="19" fillId="33" borderId="15" xfId="0" applyFont="1" applyFill="1" applyBorder="1" applyNumberFormat="1">
      <alignment horizontal="left" vertical="center" wrapText="1"/>
    </xf>
    <xf numFmtId="0" fontId="19" fillId="33" borderId="13" xfId="0" applyFont="1" applyFill="1" applyBorder="1" applyNumberFormat="1">
      <alignment horizontal="left" vertical="center" wrapText="1"/>
    </xf>
    <xf numFmtId="49" fontId="36" fillId="0" borderId="12" xfId="0" applyFont="1" applyBorder="1" applyNumberFormat="1">
      <alignment horizontal="center" vertical="center" wrapText="1"/>
    </xf>
    <xf numFmtId="174" fontId="36" fillId="0" borderId="12" xfId="0" applyFont="1" applyBorder="1" applyNumberFormat="1">
      <alignment horizontal="center" vertical="center" wrapText="1"/>
    </xf>
    <xf numFmtId="0" fontId="19" fillId="0" borderId="0" xfId="0" applyFont="1" applyNumberFormat="1">
      <alignment horizontal="left" vertical="top" wrapText="1"/>
    </xf>
    <xf numFmtId="0" fontId="36" fillId="0" borderId="12" xfId="0" applyFont="1" applyBorder="1" applyNumberFormat="1">
      <alignment horizontal="center" vertical="center"/>
    </xf>
    <xf numFmtId="0" fontId="36" fillId="0" borderId="14" xfId="0" applyFont="1" applyBorder="1" applyNumberFormat="1">
      <alignment horizontal="center" vertical="center"/>
    </xf>
    <xf numFmtId="0" fontId="36" fillId="0" borderId="12" xfId="0" applyFont="1" applyBorder="1" applyNumberFormat="1">
      <alignment horizontal="center" vertical="center" wrapText="1"/>
    </xf>
    <xf numFmtId="0" fontId="36" fillId="0" borderId="14" xfId="0" applyFont="1" applyBorder="1" applyNumberFormat="1">
      <alignment horizontal="center" vertical="center" wrapText="1"/>
    </xf>
    <xf numFmtId="0" fontId="37" fillId="0" borderId="0" xfId="0" applyFont="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174" fontId="0" fillId="38" borderId="17" xfId="0" applyFont="1" applyFill="1" applyBorder="1" applyNumberFormat="1">
      <alignment horizontal="center" vertical="center" wrapText="1"/>
      <protection locked="0"/>
    </xf>
    <xf numFmtId="49" fontId="0" fillId="38" borderId="23" xfId="0" applyFont="1" applyFill="1" applyBorder="1" applyNumberFormat="1">
      <alignment horizontal="center" vertical="center" wrapText="1"/>
      <protection locked="0"/>
    </xf>
    <xf numFmtId="0" fontId="36" fillId="0" borderId="17" xfId="0" applyFont="1" applyBorder="1" applyNumberFormat="1">
      <alignment horizontal="center" vertical="center" wrapText="1"/>
    </xf>
    <xf numFmtId="0" fontId="36" fillId="0" borderId="23"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25" fillId="0" borderId="27" xfId="0" applyFont="1" applyBorder="1" applyNumberFormat="1">
      <alignment horizontal="center" vertical="center" wrapText="1"/>
    </xf>
    <xf numFmtId="0" fontId="19" fillId="34" borderId="12" xfId="0" applyFont="1" applyFill="1" applyBorder="1" applyNumberFormat="1">
      <alignment horizontal="lef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0" fontId="19" fillId="34" borderId="36" xfId="0" applyFont="1" applyFill="1" applyBorder="1" applyNumberFormat="1">
      <alignment horizontal="center" vertical="center" wrapText="1"/>
    </xf>
    <xf numFmtId="0" fontId="19" fillId="34" borderId="23" xfId="0" applyFont="1" applyFill="1" applyBorder="1" applyNumberFormat="1">
      <alignment horizontal="center" vertical="center" wrapText="1"/>
    </xf>
    <xf numFmtId="49" fontId="29" fillId="36" borderId="17" xfId="0" applyFont="1" applyFill="1" applyBorder="1" applyNumberFormat="1">
      <alignment horizontal="center" vertical="center" textRotation="90" wrapText="1"/>
    </xf>
    <xf numFmtId="49" fontId="29" fillId="36" borderId="36" xfId="0" applyFont="1" applyFill="1" applyBorder="1" applyNumberFormat="1">
      <alignment horizontal="center" vertical="center" textRotation="90" wrapText="1"/>
    </xf>
    <xf numFmtId="49" fontId="29" fillId="36" borderId="23" xfId="0" applyFont="1" applyFill="1" applyBorder="1" applyNumberFormat="1">
      <alignment horizontal="center" vertical="center" textRotation="90" wrapText="1"/>
    </xf>
    <xf numFmtId="0" fontId="19" fillId="0" borderId="17" xfId="0" applyFont="1" applyBorder="1" applyNumberFormat="1">
      <alignment horizontal="center" vertical="center" wrapText="1"/>
    </xf>
    <xf numFmtId="0" fontId="19" fillId="0" borderId="23" xfId="0" applyFont="1" applyBorder="1" applyNumberFormat="1">
      <alignment horizontal="center" vertical="center" wrapText="1"/>
    </xf>
    <xf numFmtId="0" fontId="34" fillId="0" borderId="17" xfId="0" applyFont="1" applyBorder="1" applyNumberFormat="1">
      <alignment horizontal="left" vertical="top" wrapText="1"/>
    </xf>
    <xf numFmtId="0" fontId="34" fillId="0" borderId="36" xfId="0" applyFont="1" applyBorder="1" applyNumberFormat="1">
      <alignment horizontal="left" vertical="top" wrapText="1"/>
    </xf>
    <xf numFmtId="0" fontId="34" fillId="0" borderId="23" xfId="0" applyFont="1" applyBorder="1" applyNumberFormat="1">
      <alignment horizontal="left" vertical="top" wrapText="1"/>
    </xf>
    <xf numFmtId="0" fontId="19" fillId="0" borderId="19" xfId="0" applyFont="1" applyBorder="1" applyNumberFormat="1">
      <alignment horizontal="left" vertical="top" wrapText="1" indent="1"/>
    </xf>
    <xf numFmtId="0" fontId="19" fillId="0" borderId="27" xfId="0" applyFont="1" applyBorder="1" applyNumberFormat="1">
      <alignment horizontal="left" vertical="center" wrapText="1" indent="1"/>
    </xf>
    <xf numFmtId="0" fontId="37" fillId="0" borderId="17" xfId="0" applyFont="1" applyBorder="1" applyNumberFormat="1">
      <alignment horizontal="center" vertical="center" wrapText="1"/>
    </xf>
    <xf numFmtId="0" fontId="37" fillId="0" borderId="23"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30" xfId="0" applyFont="1" applyBorder="1" applyNumberFormat="1">
      <alignment horizontal="center" vertical="center" wrapText="1"/>
    </xf>
    <xf numFmtId="0" fontId="0" fillId="34" borderId="19" xfId="0" applyFont="1" applyFill="1" applyBorder="1" applyNumberFormat="1">
      <alignment horizontal="center" vertical="center" wrapText="1"/>
    </xf>
    <xf numFmtId="0" fontId="37" fillId="0" borderId="14" xfId="0" applyFont="1" applyBorder="1" applyNumberFormat="1">
      <alignment horizontal="left" vertical="center" wrapText="1"/>
    </xf>
    <xf numFmtId="0" fontId="37" fillId="0" borderId="15" xfId="0" applyFont="1" applyBorder="1" applyNumberFormat="1">
      <alignment horizontal="left" vertical="center" wrapText="1"/>
    </xf>
    <xf numFmtId="0" fontId="37" fillId="0" borderId="13" xfId="0" applyFont="1" applyBorder="1" applyNumberFormat="1">
      <alignment horizontal="left" vertical="center" wrapText="1"/>
    </xf>
    <xf numFmtId="0" fontId="0" fillId="0" borderId="0" xfId="0" applyFont="1" applyNumberFormat="1">
      <alignment horizontal="left" vertical="top" wrapText="1"/>
    </xf>
    <xf numFmtId="0" fontId="19" fillId="0" borderId="19" xfId="0" applyFont="1" applyBorder="1" applyNumberFormat="1">
      <alignment horizontal="left" vertical="center" wrapText="1" indent="1"/>
    </xf>
    <xf numFmtId="49" fontId="0" fillId="38" borderId="12" xfId="0" applyFont="1" applyFill="1" applyBorder="1" applyNumberFormat="1">
      <alignment horizontal="center" vertical="center" wrapText="1"/>
      <protection locked="0"/>
    </xf>
    <xf numFmtId="0" fontId="19"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19" fillId="0" borderId="19"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27" xfId="0" applyFont="1" applyBorder="1" applyNumberFormat="1">
      <alignment horizontal="center" vertical="center" wrapText="1"/>
    </xf>
    <xf numFmtId="0" fontId="19" fillId="0" borderId="29"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12" xfId="0" applyFont="1" applyBorder="1" applyNumberFormat="1">
      <alignment horizontal="center" vertical="center"/>
    </xf>
    <xf numFmtId="0" fontId="19" fillId="0" borderId="14" xfId="0" applyFont="1" applyBorder="1" applyNumberFormat="1">
      <alignment horizontal="center" vertical="center"/>
    </xf>
    <xf numFmtId="0" fontId="19" fillId="0" borderId="12" xfId="0" applyFont="1" applyBorder="1" applyNumberFormat="1">
      <alignment horizontal="center" vertical="center"/>
    </xf>
    <xf numFmtId="0" fontId="19" fillId="0" borderId="14" xfId="0" applyFont="1" applyBorder="1" applyNumberFormat="1">
      <alignment horizontal="center" vertical="center"/>
    </xf>
    <xf numFmtId="0" fontId="19" fillId="39" borderId="20" xfId="0" applyFont="1" applyFill="1" applyBorder="1" applyNumberFormat="1">
      <alignment horizontal="left" vertical="center" wrapText="1"/>
    </xf>
    <xf numFmtId="49" fontId="19" fillId="0" borderId="12" xfId="0" applyFont="1" applyBorder="1" applyNumberFormat="1">
      <alignment horizontal="left" vertical="center" wrapText="1" indent="1"/>
    </xf>
    <xf numFmtId="0" fontId="0" fillId="34" borderId="37" xfId="0" applyFont="1" applyFill="1" applyBorder="1" applyNumberFormat="1">
      <alignment horizontal="center" vertical="center" wrapText="1"/>
    </xf>
    <xf numFmtId="0" fontId="0" fillId="34" borderId="20" xfId="0" applyFont="1" applyFill="1" applyBorder="1" applyNumberFormat="1">
      <alignment horizontal="center" vertical="center" wrapText="1"/>
    </xf>
    <xf numFmtId="0" fontId="0" fillId="34" borderId="22" xfId="0" applyFont="1" applyFill="1" applyBorder="1" applyNumberFormat="1">
      <alignment horizontal="center" vertical="center" wrapText="1"/>
    </xf>
    <xf numFmtId="0" fontId="0" fillId="34" borderId="0" xfId="0" applyFont="1" applyFill="1" applyNumberFormat="1">
      <alignment horizontal="center" vertical="center" wrapText="1"/>
    </xf>
    <xf numFmtId="0" fontId="0" fillId="34" borderId="30" xfId="0" applyFont="1" applyFill="1" applyBorder="1" applyNumberFormat="1">
      <alignment horizontal="center" vertical="center" wrapText="1"/>
    </xf>
    <xf numFmtId="0" fontId="0" fillId="34" borderId="27" xfId="0" applyFont="1" applyFill="1" applyBorder="1" applyNumberFormat="1">
      <alignment horizontal="center" vertical="center" wrapText="1"/>
    </xf>
    <xf numFmtId="0" fontId="0" fillId="34" borderId="29" xfId="0" applyFont="1" applyFill="1" applyBorder="1" applyNumberFormat="1">
      <alignment horizontal="center" vertical="center" wrapText="1"/>
    </xf>
    <xf numFmtId="0" fontId="25" fillId="0" borderId="12" xfId="0" applyFont="1" applyBorder="1" applyNumberFormat="1">
      <alignment horizontal="center" vertical="center" wrapText="1"/>
    </xf>
    <xf numFmtId="49" fontId="19" fillId="38" borderId="17" xfId="0" applyFont="1" applyFill="1" applyBorder="1" applyNumberFormat="1">
      <alignment horizontal="left" vertical="center" wrapText="1" indent="6"/>
      <protection locked="0"/>
    </xf>
    <xf numFmtId="49" fontId="19" fillId="38" borderId="36" xfId="0" applyFont="1" applyFill="1" applyBorder="1" applyNumberFormat="1">
      <alignment horizontal="left" vertical="center" wrapText="1" indent="6"/>
      <protection locked="0"/>
    </xf>
    <xf numFmtId="49" fontId="19" fillId="38" borderId="23" xfId="0" applyFont="1" applyFill="1" applyBorder="1" applyNumberFormat="1">
      <alignment horizontal="left" vertical="center" wrapText="1" indent="6"/>
      <protection locked="0"/>
    </xf>
    <xf numFmtId="0" fontId="19" fillId="34" borderId="17" xfId="0" applyFont="1" applyFill="1" applyBorder="1" applyNumberFormat="1">
      <alignment horizontal="left" vertical="center" wrapText="1"/>
    </xf>
    <xf numFmtId="0" fontId="19" fillId="34" borderId="36" xfId="0" applyFont="1" applyFill="1" applyBorder="1" applyNumberFormat="1">
      <alignment horizontal="left" vertical="center" wrapText="1"/>
    </xf>
    <xf numFmtId="0" fontId="19" fillId="34" borderId="23" xfId="0" applyFont="1" applyFill="1" applyBorder="1" applyNumberFormat="1">
      <alignment horizontal="left" vertical="center" wrapText="1"/>
    </xf>
    <xf numFmtId="0" fontId="37" fillId="0" borderId="24" xfId="0" applyFont="1" applyBorder="1" applyNumberFormat="1">
      <alignment horizontal="center" vertical="top" wrapText="1"/>
    </xf>
    <xf numFmtId="0" fontId="0" fillId="34" borderId="24"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19" fillId="38" borderId="12" xfId="0" applyFont="1" applyFill="1" applyBorder="1" applyNumberFormat="1">
      <alignment horizontal="center" vertical="center" wrapText="1"/>
      <protection locked="0"/>
    </xf>
    <xf numFmtId="49" fontId="19" fillId="39" borderId="12" xfId="0" applyFont="1" applyFill="1" applyBorder="1" applyNumberFormat="1">
      <alignment horizontal="left" vertical="center" wrapText="1" indent="1"/>
    </xf>
    <xf numFmtId="0" fontId="19" fillId="35" borderId="14" xfId="0" applyFont="1" applyFill="1" applyBorder="1" applyNumberFormat="1">
      <alignment horizontal="left" vertical="center" wrapText="1"/>
      <protection locked="0"/>
    </xf>
    <xf numFmtId="0" fontId="19" fillId="35" borderId="15" xfId="0" applyFont="1" applyFill="1" applyBorder="1" applyNumberFormat="1">
      <alignment horizontal="left" vertical="center" wrapText="1"/>
      <protection locked="0"/>
    </xf>
    <xf numFmtId="0" fontId="19" fillId="35" borderId="13" xfId="0" applyFont="1" applyFill="1" applyBorder="1" applyNumberFormat="1">
      <alignment horizontal="left" vertical="center" wrapText="1"/>
      <protection locked="0"/>
    </xf>
    <xf numFmtId="49" fontId="19" fillId="35" borderId="14" xfId="0" applyFont="1" applyFill="1" applyBorder="1" applyNumberFormat="1">
      <alignment horizontal="left" vertical="center" wrapText="1"/>
      <protection locked="0"/>
    </xf>
    <xf numFmtId="49" fontId="19" fillId="35" borderId="15" xfId="0" applyFont="1" applyFill="1" applyBorder="1" applyNumberFormat="1">
      <alignment horizontal="left" vertical="center" wrapText="1"/>
      <protection locked="0"/>
    </xf>
    <xf numFmtId="49" fontId="19" fillId="35" borderId="13" xfId="0" applyFont="1" applyFill="1" applyBorder="1" applyNumberFormat="1">
      <alignment horizontal="left" vertical="center" wrapText="1"/>
      <protection locked="0"/>
    </xf>
    <xf numFmtId="0" fontId="34" fillId="0" borderId="12" xfId="0" applyFont="1" applyBorder="1" applyNumberFormat="1">
      <alignment horizontal="left" vertical="top" wrapText="1"/>
    </xf>
    <xf numFmtId="49" fontId="19" fillId="39" borderId="12" xfId="0" applyFont="1" applyFill="1" applyBorder="1" applyNumberFormat="1">
      <alignment horizontal="left" vertical="center" wrapText="1" indent="1"/>
      <protection locked="0"/>
    </xf>
    <xf numFmtId="4" fontId="19" fillId="38" borderId="12" xfId="0" applyFont="1" applyFill="1" applyBorder="1" applyNumberFormat="1">
      <alignment horizontal="left" vertical="center" wrapText="1" indent="1"/>
      <protection locked="0"/>
    </xf>
    <xf numFmtId="49" fontId="19" fillId="35" borderId="17" xfId="0" applyFont="1" applyFill="1" applyBorder="1" applyNumberFormat="1">
      <alignment horizontal="left" vertical="center" wrapText="1" indent="6"/>
      <protection locked="0"/>
    </xf>
    <xf numFmtId="49" fontId="19" fillId="35" borderId="36" xfId="0" applyFont="1" applyFill="1" applyBorder="1" applyNumberFormat="1">
      <alignment horizontal="left" vertical="center" wrapText="1" indent="6"/>
      <protection locked="0"/>
    </xf>
    <xf numFmtId="49" fontId="19" fillId="35" borderId="23" xfId="0" applyFont="1" applyFill="1" applyBorder="1" applyNumberFormat="1">
      <alignment horizontal="left" vertical="center" wrapText="1" indent="6"/>
      <protection locked="0"/>
    </xf>
    <xf numFmtId="4" fontId="19" fillId="38" borderId="12" xfId="0" applyFont="1" applyFill="1" applyBorder="1" applyNumberFormat="1">
      <alignment horizontal="center" vertical="center" wrapText="1"/>
      <protection locked="0"/>
    </xf>
    <xf numFmtId="49" fontId="19" fillId="39" borderId="20" xfId="0" applyFont="1" applyFill="1" applyBorder="1" applyNumberFormat="1">
      <alignment horizontal="center" vertical="center" wrapText="1"/>
    </xf>
    <xf numFmtId="49" fontId="19" fillId="39" borderId="29" xfId="0" applyFont="1" applyFill="1" applyBorder="1" applyNumberFormat="1">
      <alignment horizontal="center" vertical="center" wrapText="1"/>
    </xf>
    <xf numFmtId="0" fontId="37" fillId="0" borderId="19" xfId="0" applyFont="1" applyBorder="1" applyNumberFormat="1">
      <alignment horizontal="left" vertical="center" wrapText="1"/>
    </xf>
    <xf numFmtId="49" fontId="81" fillId="45" borderId="0" xfId="0" applyFont="1" applyFill="1" applyNumberFormat="1">
      <alignment horizontal="center" vertical="center" textRotation="90" wrapText="1"/>
    </xf>
    <xf numFmtId="0" fontId="63" fillId="0" borderId="0" xfId="0" applyFont="1" applyNumberFormat="1">
      <alignment horizontal="center" vertical="center" wrapText="1"/>
    </xf>
    <xf numFmtId="49" fontId="81" fillId="45" borderId="0" xfId="0" applyFont="1" applyFill="1" applyNumberFormat="1">
      <alignment horizontal="center" vertical="center" textRotation="90" wrapTex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0" borderId="14" xfId="0" applyFont="1" applyBorder="1" applyNumberFormat="1">
      <alignment horizontal="right" vertical="center" wrapText="1"/>
    </xf>
    <xf numFmtId="0" fontId="19" fillId="0" borderId="15" xfId="0" applyFont="1" applyBorder="1" applyNumberFormat="1">
      <alignment horizontal="right" vertical="center" wrapText="1"/>
    </xf>
    <xf numFmtId="49" fontId="37" fillId="0" borderId="17" xfId="0" applyFont="1" applyBorder="1" applyNumberFormat="1">
      <alignment horizontal="center" vertical="center" wrapText="1"/>
    </xf>
    <xf numFmtId="49" fontId="37" fillId="0" borderId="36" xfId="0" applyFont="1" applyBorder="1" applyNumberFormat="1">
      <alignment horizontal="center" vertical="center" wrapText="1"/>
    </xf>
    <xf numFmtId="49" fontId="37" fillId="0" borderId="23" xfId="0" applyFont="1" applyBorder="1" applyNumberFormat="1">
      <alignment horizontal="center" vertical="center" wrapText="1"/>
    </xf>
    <xf numFmtId="0" fontId="0" fillId="33" borderId="12" xfId="0" applyFont="1" applyFill="1" applyBorder="1" applyNumberFormat="1">
      <alignment horizontal="left" vertical="center" wrapText="1" indent="1"/>
    </xf>
    <xf numFmtId="0" fontId="34" fillId="0" borderId="0" xfId="0" applyFont="1" applyNumberFormat="1">
      <alignment horizontal="left" vertical="top" wrapText="1"/>
    </xf>
    <xf numFmtId="0" fontId="19" fillId="0" borderId="23" xfId="0" applyFont="1" applyBorder="1" applyNumberFormat="1">
      <alignment horizontal="left" vertical="center" wrapText="1"/>
    </xf>
    <xf numFmtId="0" fontId="37" fillId="0" borderId="0" xfId="0" applyFont="1" applyNumberFormat="1">
      <alignment horizontal="center" vertical="center" wrapText="1"/>
    </xf>
    <xf numFmtId="0" fontId="36" fillId="0" borderId="0" xfId="0" applyFont="1" applyNumberFormat="1">
      <alignment horizontal="center" vertical="top"/>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37" fillId="0" borderId="15" xfId="0" applyFont="1" applyBorder="1" applyNumberFormat="1">
      <alignment horizontal="right" vertical="center" wrapText="1" indent="1"/>
    </xf>
    <xf numFmtId="0" fontId="37" fillId="0" borderId="13" xfId="0" applyFont="1" applyBorder="1" applyNumberFormat="1">
      <alignment horizontal="right" vertical="center" wrapText="1" indent="1"/>
    </xf>
    <xf numFmtId="0" fontId="19" fillId="33" borderId="14" xfId="0" applyFont="1" applyFill="1" applyBorder="1" applyNumberFormat="1">
      <alignment horizontal="left" vertical="top" wrapText="1"/>
    </xf>
    <xf numFmtId="0" fontId="19" fillId="33" borderId="13" xfId="0" applyFont="1" applyFill="1" applyBorder="1" applyNumberFormat="1">
      <alignment horizontal="left" vertical="top" wrapText="1"/>
    </xf>
    <xf numFmtId="49" fontId="19" fillId="55" borderId="0" xfId="0" applyFont="1" applyFill="1" applyNumberFormat="1">
      <alignment horizontal="center" vertical="center" textRotation="90" wrapText="1"/>
    </xf>
    <xf numFmtId="0" fontId="19" fillId="0" borderId="0" xfId="0" applyFont="1" applyNumberFormat="1">
      <alignment horizontal="left" vertical="top" wrapText="1"/>
    </xf>
    <xf numFmtId="49" fontId="19" fillId="0" borderId="0" xfId="0" applyFont="1" applyNumberFormat="1">
      <alignment vertical="center" wrapText="1"/>
    </xf>
    <xf numFmtId="0" fontId="25" fillId="0" borderId="24" xfId="0" applyFont="1" applyBorder="1" applyNumberFormat="1">
      <alignment horizontal="center" vertical="center" wrapText="1"/>
    </xf>
    <xf numFmtId="0" fontId="19" fillId="33" borderId="14" xfId="0" applyFont="1" applyFill="1" applyBorder="1" applyNumberFormat="1">
      <alignment horizontal="left" vertical="top" wrapText="1" indent="1"/>
    </xf>
    <xf numFmtId="0" fontId="19" fillId="33" borderId="13" xfId="0" applyFont="1" applyFill="1" applyBorder="1" applyNumberFormat="1">
      <alignment horizontal="left" vertical="top" wrapText="1" indent="1"/>
    </xf>
    <xf numFmtId="49" fontId="0" fillId="0" borderId="12" xfId="0" applyFont="1" applyBorder="1" applyNumberFormat="1">
      <alignment horizontal="center" vertical="center" wrapText="1"/>
    </xf>
    <xf numFmtId="49" fontId="19" fillId="0" borderId="14" xfId="0" applyFont="1" applyBorder="1" applyNumberFormat="1">
      <alignment horizontal="center" vertical="center" wrapText="1"/>
    </xf>
    <xf numFmtId="49" fontId="37"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0" borderId="12" xfId="0" applyFont="1" applyBorder="1" applyNumberFormat="1">
      <alignment horizontal="center" vertical="center" wrapText="1"/>
    </xf>
    <xf numFmtId="0" fontId="19" fillId="0" borderId="0" xfId="0" applyFont="1" applyNumberFormat="1">
      <alignment horizontal="left" vertical="center" wrapText="1"/>
    </xf>
    <xf numFmtId="0" fontId="19" fillId="34" borderId="12"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0"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0" borderId="62" xfId="0" applyFont="1" applyBorder="1" applyNumberFormat="1">
      <alignment horizontal="center" vertical="center"/>
    </xf>
    <xf numFmtId="0" fontId="19" fillId="0" borderId="63" xfId="0" applyFont="1" applyBorder="1" applyNumberFormat="1">
      <alignment horizontal="center" vertical="center"/>
    </xf>
    <xf numFmtId="0" fontId="19" fillId="0" borderId="65" xfId="0" applyFont="1" applyBorder="1" applyNumberFormat="1">
      <alignment horizontal="center" vertical="center"/>
    </xf>
    <xf numFmtId="0" fontId="19" fillId="0" borderId="75" xfId="0" applyFont="1" applyBorder="1" applyNumberFormat="1">
      <alignment horizontal="center" vertical="center"/>
    </xf>
    <xf numFmtId="0" fontId="19" fillId="0" borderId="43" xfId="0" applyFont="1" applyBorder="1" applyNumberFormat="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3" borderId="12" xfId="0" applyFont="1" applyFill="1" applyBorder="1" applyNumberFormat="1">
      <alignment horizontal="center" vertical="center" wrapText="1"/>
    </xf>
    <xf numFmtId="49" fontId="0" fillId="0" borderId="12" xfId="0" applyFont="1" applyBorder="1" applyNumberFormat="1">
      <alignment horizontal="center" vertical="center"/>
    </xf>
    <xf numFmtId="0" fontId="19" fillId="34" borderId="2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34" borderId="14" xfId="0" applyFont="1" applyFill="1" applyBorder="1" applyNumberFormat="1">
      <alignment horizontal="center" vertical="center" wrapText="1"/>
    </xf>
    <xf numFmtId="0" fontId="19" fillId="34" borderId="13" xfId="0" applyFont="1" applyFill="1" applyBorder="1" applyNumberFormat="1">
      <alignment horizontal="center" vertical="center" wrapText="1"/>
    </xf>
    <xf numFmtId="0" fontId="19" fillId="40" borderId="12" xfId="0" applyFont="1" applyFill="1" applyBorder="1" applyNumberFormat="1">
      <alignment horizontal="center" vertical="center" wrapText="1"/>
    </xf>
    <xf numFmtId="0" fontId="19" fillId="40" borderId="14" xfId="0" applyFont="1" applyFill="1" applyBorder="1" applyNumberFormat="1">
      <alignment horizontal="center" vertical="center" wrapText="1"/>
    </xf>
    <xf numFmtId="0" fontId="19" fillId="34" borderId="15" xfId="0" applyFont="1" applyFill="1" applyBorder="1" applyNumberFormat="1">
      <alignment horizontal="center" vertical="center" wrapText="1"/>
    </xf>
    <xf numFmtId="49" fontId="19" fillId="50" borderId="14" xfId="0" applyFont="1" applyFill="1" applyBorder="1" applyNumberFormat="1">
      <alignment horizontal="center" vertical="center" wrapText="1"/>
    </xf>
    <xf numFmtId="49" fontId="19" fillId="50" borderId="15" xfId="0" applyFont="1" applyFill="1" applyBorder="1" applyNumberFormat="1">
      <alignment horizontal="center" vertical="center" wrapText="1"/>
    </xf>
    <xf numFmtId="49" fontId="19" fillId="40" borderId="19" xfId="0" applyFont="1" applyFill="1" applyBorder="1" applyNumberFormat="1">
      <alignment horizontal="center" vertical="center" wrapText="1"/>
    </xf>
    <xf numFmtId="49" fontId="19" fillId="40" borderId="0" xfId="0" applyFont="1" applyFill="1" applyNumberFormat="1">
      <alignment horizontal="center" vertical="center" wrapText="1"/>
    </xf>
    <xf numFmtId="49" fontId="19" fillId="40" borderId="27" xfId="0" applyFont="1" applyFill="1" applyBorder="1" applyNumberFormat="1">
      <alignment horizontal="center" vertical="center" wrapText="1"/>
    </xf>
    <xf numFmtId="0" fontId="19" fillId="40" borderId="13" xfId="0" applyFont="1" applyFill="1" applyBorder="1" applyNumberFormat="1">
      <alignment horizontal="center" vertical="center" wrapText="1"/>
    </xf>
    <xf numFmtId="0" fontId="19" fillId="48" borderId="14" xfId="0" applyFont="1" applyFill="1" applyBorder="1" applyNumberFormat="1">
      <alignment horizontal="center" vertical="center" wrapText="1"/>
    </xf>
    <xf numFmtId="0" fontId="19" fillId="48" borderId="15" xfId="0" applyFont="1" applyFill="1" applyBorder="1" applyNumberFormat="1">
      <alignment horizontal="center" vertical="center" wrapText="1"/>
    </xf>
    <xf numFmtId="0" fontId="19" fillId="48" borderId="13" xfId="0" applyFont="1" applyFill="1" applyBorder="1" applyNumberFormat="1">
      <alignment horizontal="center" vertical="center" wrapText="1"/>
    </xf>
    <xf numFmtId="49" fontId="36" fillId="46" borderId="14" xfId="0" applyFont="1" applyFill="1" applyBorder="1" applyNumberFormat="1">
      <alignment horizontal="center" vertical="center" wrapText="1"/>
    </xf>
    <xf numFmtId="49" fontId="36" fillId="46" borderId="15" xfId="0" applyFont="1" applyFill="1" applyBorder="1" applyNumberFormat="1">
      <alignment horizontal="center" vertical="center" wrapText="1"/>
    </xf>
    <xf numFmtId="49" fontId="36" fillId="46" borderId="13" xfId="0" applyFont="1" applyFill="1" applyBorder="1" applyNumberFormat="1">
      <alignment horizontal="center" vertical="center" wrapText="1"/>
    </xf>
    <xf numFmtId="49" fontId="36" fillId="49" borderId="14" xfId="0" applyFont="1" applyFill="1" applyBorder="1" applyNumberFormat="1">
      <alignment horizontal="center" vertical="center" wrapText="1"/>
    </xf>
    <xf numFmtId="49" fontId="36" fillId="49" borderId="15" xfId="0" applyFont="1" applyFill="1" applyBorder="1" applyNumberFormat="1">
      <alignment horizontal="center" vertical="center" wrapText="1"/>
    </xf>
    <xf numFmtId="49" fontId="36" fillId="49" borderId="13" xfId="0" applyFont="1" applyFill="1" applyBorder="1" applyNumberFormat="1">
      <alignment horizontal="center" vertical="center" wrapText="1"/>
    </xf>
    <xf numFmtId="49" fontId="19" fillId="40"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0" borderId="14" xfId="0" applyFont="1" applyBorder="1" applyNumberFormat="1">
      <alignment horizontal="center" vertical="center" wrapText="1"/>
    </xf>
    <xf numFmtId="49" fontId="19" fillId="0" borderId="15" xfId="0" applyFont="1" applyBorder="1" applyNumberFormat="1">
      <alignment horizontal="center" vertical="center" wrapText="1"/>
    </xf>
    <xf numFmtId="49" fontId="19" fillId="0" borderId="13" xfId="0" applyFont="1" applyBorder="1" applyNumberFormat="1">
      <alignment horizontal="center" vertical="center" wrapText="1"/>
    </xf>
    <xf numFmtId="0" fontId="19" fillId="0" borderId="20" xfId="0" applyFont="1" applyBorder="1" applyNumberFormat="1">
      <alignment horizontal="left" vertical="top"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19" fillId="34" borderId="12" xfId="0" applyFont="1" applyFill="1" applyBorder="1" applyNumberFormat="1">
      <alignment horizontal="center" vertical="center"/>
    </xf>
    <xf numFmtId="0" fontId="0"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19" fillId="0" borderId="15" xfId="0" applyFont="1" applyBorder="1" applyNumberFormat="1">
      <alignment horizontal="left" vertical="top" wrapText="1" indent="1"/>
    </xf>
    <xf numFmtId="0" fontId="28" fillId="34" borderId="0" xfId="0" applyFont="1" applyFill="1" applyNumberFormat="1">
      <alignment horizontal="center" vertical="top" wrapText="1"/>
    </xf>
    <xf numFmtId="49" fontId="24" fillId="34" borderId="19"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0" fillId="33" borderId="14" xfId="0" applyFont="1" applyFill="1" applyBorder="1" applyNumberFormat="1">
      <alignment horizontal="left" vertical="center" wrapText="1" indent="1"/>
    </xf>
    <xf numFmtId="0" fontId="28" fillId="34" borderId="24" xfId="0" applyFont="1" applyFill="1" applyBorder="1" applyNumberFormat="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pplyNumberFormat="1">
      <alignment horizontal="left" vertical="center" wrapText="1" indent="1"/>
    </xf>
    <xf numFmtId="49" fontId="19" fillId="0" borderId="0" xfId="0" applyFont="1" applyNumberFormat="1">
      <alignment horizontal="left" vertical="top" wrapText="1"/>
    </xf>
    <xf numFmtId="0" fontId="19" fillId="0" borderId="13" xfId="0" applyFont="1" applyBorder="1" applyNumberFormat="1">
      <alignment horizontal="left" vertical="center" wrapText="1" indent="1"/>
    </xf>
    <xf numFmtId="0" fontId="19" fillId="0" borderId="14" xfId="0" applyFont="1" applyBorder="1" applyNumberFormat="1">
      <alignment horizontal="left" vertical="center" wrapText="1" indent="1"/>
    </xf>
    <xf numFmtId="49" fontId="19" fillId="0" borderId="0" xfId="0" applyFont="1" applyNumberFormat="1">
      <alignment horizontal="left" vertical="top" wrapText="1"/>
    </xf>
    <xf numFmtId="0" fontId="0" fillId="34" borderId="17" xfId="0" applyFont="1" applyFill="1" applyBorder="1" applyNumberFormat="1">
      <alignment horizontal="left" vertical="top" wrapText="1"/>
    </xf>
    <xf numFmtId="0" fontId="0" fillId="34" borderId="36" xfId="0" applyFont="1" applyFill="1" applyBorder="1" applyNumberFormat="1">
      <alignment horizontal="left" vertical="top" wrapText="1"/>
    </xf>
    <xf numFmtId="0" fontId="0" fillId="34" borderId="23" xfId="0" applyFont="1" applyFill="1" applyBorder="1" applyNumberFormat="1">
      <alignment horizontal="left" vertical="top" wrapText="1"/>
    </xf>
    <xf numFmtId="4" fontId="19" fillId="0" borderId="17" xfId="0" applyFont="1" applyBorder="1" applyNumberFormat="1">
      <alignment horizontal="center" vertical="center" wrapText="1"/>
    </xf>
    <xf numFmtId="4" fontId="19" fillId="0" borderId="23" xfId="0" applyFont="1" applyBorder="1" applyNumberFormat="1">
      <alignment horizontal="center" vertical="center" wrapText="1"/>
    </xf>
    <xf numFmtId="49" fontId="19" fillId="0" borderId="20" xfId="0" applyFont="1" applyBorder="1" applyNumberFormat="1">
      <alignment horizontal="left" vertical="top" wrapText="1"/>
    </xf>
    <xf numFmtId="49" fontId="19" fillId="0" borderId="29" xfId="0" applyFont="1" applyBorder="1" applyNumberFormat="1">
      <alignment horizontal="left" vertical="top" wrapText="1"/>
    </xf>
    <xf numFmtId="4" fontId="19" fillId="0" borderId="36" xfId="0" applyFont="1" applyBorder="1" applyNumberFormat="1">
      <alignment horizontal="center" vertical="center" wrapText="1"/>
    </xf>
    <xf numFmtId="171" fontId="19" fillId="0" borderId="17" xfId="0" applyFont="1" applyBorder="1" applyNumberFormat="1">
      <alignment horizontal="center" vertical="center" wrapText="1"/>
    </xf>
    <xf numFmtId="171" fontId="19" fillId="0" borderId="23"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5" xfId="0" applyFont="1" applyBorder="1" applyNumberFormat="1">
      <alignment horizontal="center" vertical="center" wrapText="1"/>
    </xf>
    <xf numFmtId="171" fontId="19" fillId="0" borderId="13" xfId="0" applyFont="1" applyBorder="1" applyNumberFormat="1">
      <alignment horizontal="center" vertical="center" wrapText="1"/>
    </xf>
    <xf numFmtId="0" fontId="19" fillId="33" borderId="12" xfId="0" applyFont="1" applyFill="1" applyBorder="1" applyNumberFormat="1">
      <alignment horizontal="left" vertical="center" wrapText="1"/>
    </xf>
    <xf numFmtId="14"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49" fontId="19" fillId="39" borderId="12" xfId="0" applyFont="1" applyFill="1" applyBorder="1" applyNumberFormat="1">
      <alignment horizontal="left" vertical="center" wrapText="1"/>
    </xf>
    <xf numFmtId="0" fontId="19" fillId="33" borderId="23" xfId="0" applyFont="1" applyFill="1" applyBorder="1" applyNumberFormat="1">
      <alignment horizontal="left" vertical="center" wrapText="1"/>
    </xf>
    <xf numFmtId="14" fontId="19" fillId="39" borderId="23" xfId="0" applyFont="1" applyFill="1" applyBorder="1" applyNumberFormat="1">
      <alignment horizontal="left" vertical="center" wrapText="1"/>
    </xf>
    <xf numFmtId="171" fontId="19" fillId="0" borderId="12" xfId="0" applyFont="1" applyBorder="1" applyNumberFormat="1">
      <alignment horizontal="center" vertical="center" wrapText="1"/>
    </xf>
    <xf numFmtId="171" fontId="34" fillId="0" borderId="57" xfId="0" applyFont="1" applyBorder="1" applyNumberFormat="1">
      <alignment horizontal="center" vertical="center" wrapText="1"/>
    </xf>
    <xf numFmtId="171" fontId="34" fillId="0" borderId="51" xfId="0" applyFont="1" applyBorder="1" applyNumberFormat="1">
      <alignment horizontal="center" vertical="center" wrapText="1"/>
    </xf>
    <xf numFmtId="171" fontId="34" fillId="0" borderId="76" xfId="0" applyFont="1" applyBorder="1" applyNumberFormat="1">
      <alignment horizontal="center" vertical="center" wrapText="1"/>
    </xf>
    <xf numFmtId="49" fontId="19" fillId="39" borderId="30" xfId="0" applyFont="1" applyFill="1" applyBorder="1" applyNumberFormat="1">
      <alignment horizontal="left" vertical="center" wrapText="1"/>
    </xf>
    <xf numFmtId="49" fontId="19" fillId="39" borderId="23" xfId="0" applyFont="1" applyFill="1" applyBorder="1" applyNumberFormat="1">
      <alignment horizontal="left" vertical="center" wrapText="1"/>
    </xf>
    <xf numFmtId="49" fontId="0" fillId="0" borderId="15" xfId="0" applyFont="1" applyBorder="1" applyNumberFormat="1">
      <alignment horizontal="left" vertical="center" indent="1"/>
    </xf>
    <xf numFmtId="49" fontId="19" fillId="0" borderId="12" xfId="0" applyFont="1" applyBorder="1" applyNumberFormat="1">
      <alignment horizontal="center" vertical="top" wrapText="1"/>
    </xf>
    <xf numFmtId="0" fontId="0" fillId="33" borderId="12" xfId="0" applyFont="1" applyFill="1" applyBorder="1" applyNumberFormat="1">
      <alignment horizontal="left" vertical="top" wrapText="1" indent="1"/>
    </xf>
    <xf numFmtId="49" fontId="19" fillId="39" borderId="17" xfId="0" applyFont="1" applyFill="1" applyBorder="1" applyNumberFormat="1">
      <alignment horizontal="center" vertical="top" wrapText="1"/>
    </xf>
    <xf numFmtId="49" fontId="19" fillId="39" borderId="23" xfId="0" applyFont="1" applyFill="1" applyBorder="1" applyNumberFormat="1">
      <alignment horizontal="center" vertical="top" wrapText="1"/>
    </xf>
    <xf numFmtId="174" fontId="0" fillId="38" borderId="12" xfId="0" applyFont="1" applyFill="1" applyBorder="1" applyNumberFormat="1">
      <alignment horizontal="center" vertical="top" wrapText="1"/>
      <protection locked="0"/>
    </xf>
    <xf numFmtId="49" fontId="0" fillId="38" borderId="12" xfId="0" applyFont="1" applyFill="1" applyBorder="1" applyNumberFormat="1">
      <alignment horizontal="center" vertical="top" wrapText="1"/>
      <protection locked="0"/>
    </xf>
    <xf numFmtId="174" fontId="0" fillId="35"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19" fillId="39" borderId="12" xfId="0" applyFont="1" applyFill="1" applyBorder="1" applyNumberFormat="1">
      <alignment horizontal="left" vertical="top" wrapText="1"/>
    </xf>
    <xf numFmtId="0" fontId="0" fillId="0" borderId="12" xfId="0" applyFont="1" applyBorder="1" applyNumberFormat="1">
      <alignment horizontal="center" vertical="center"/>
    </xf>
    <xf numFmtId="49" fontId="0" fillId="0" borderId="12" xfId="0" applyFont="1" applyBorder="1" applyNumberFormat="1">
      <alignment vertical="top"/>
    </xf>
    <xf numFmtId="49" fontId="19" fillId="38" borderId="12" xfId="0" applyFont="1" applyFill="1" applyBorder="1" applyNumberFormat="1">
      <alignment horizontal="left" vertical="top" wrapText="1"/>
      <protection locked="0"/>
    </xf>
    <xf numFmtId="49" fontId="19" fillId="0" borderId="13" xfId="0" applyFont="1" applyBorder="1" applyNumberFormat="1">
      <alignment horizontal="center" vertical="center" wrapText="1"/>
    </xf>
    <xf numFmtId="0" fontId="19" fillId="35" borderId="12" xfId="0" applyFont="1" applyFill="1" applyBorder="1" applyNumberFormat="1">
      <alignment horizontal="left" vertical="top" wrapText="1"/>
      <protection locked="0"/>
    </xf>
    <xf numFmtId="49" fontId="0" fillId="38" borderId="12" xfId="0" applyFont="1" applyFill="1" applyBorder="1" applyNumberFormat="1">
      <alignment horizontal="left" vertical="center" wrapText="1"/>
      <protection locked="0"/>
    </xf>
    <xf numFmtId="0" fontId="19" fillId="39" borderId="12" xfId="0" applyFont="1" applyFill="1" applyBorder="1" applyNumberFormat="1">
      <alignment horizontal="left" vertical="top" wrapText="1"/>
    </xf>
    <xf numFmtId="49" fontId="0" fillId="39" borderId="12" xfId="0" applyFont="1" applyFill="1" applyBorder="1" applyNumberFormat="1">
      <alignment horizontal="left" vertical="top"/>
    </xf>
    <xf numFmtId="49" fontId="19" fillId="0" borderId="17" xfId="0" applyFont="1" applyBorder="1" applyNumberFormat="1">
      <alignment horizontal="center" vertical="center" wrapText="1"/>
    </xf>
    <xf numFmtId="49" fontId="19" fillId="0" borderId="36" xfId="0" applyFont="1" applyBorder="1" applyNumberFormat="1">
      <alignment horizontal="center" vertical="center" wrapText="1"/>
    </xf>
    <xf numFmtId="49" fontId="19" fillId="0" borderId="23" xfId="0" applyFont="1" applyBorder="1" applyNumberFormat="1">
      <alignment horizontal="center" vertical="center" wrapText="1"/>
    </xf>
    <xf numFmtId="49" fontId="19" fillId="39" borderId="17" xfId="0" applyFont="1" applyFill="1" applyBorder="1" applyNumberFormat="1">
      <alignment horizontal="left" vertical="center" wrapText="1" indent="1"/>
    </xf>
    <xf numFmtId="49" fontId="19" fillId="39" borderId="36" xfId="0" applyFont="1" applyFill="1" applyBorder="1" applyNumberFormat="1">
      <alignment horizontal="left" vertical="center" wrapText="1" indent="1"/>
    </xf>
    <xf numFmtId="49" fontId="19" fillId="39" borderId="23" xfId="0" applyFont="1" applyFill="1" applyBorder="1" applyNumberFormat="1">
      <alignment horizontal="left" vertical="center" wrapText="1" indent="1"/>
    </xf>
    <xf numFmtId="49" fontId="19" fillId="0" borderId="12" xfId="0" applyFont="1" applyBorder="1" applyNumberFormat="1">
      <alignment horizontal="left" vertical="center" wrapText="1"/>
    </xf>
    <xf numFmtId="49" fontId="113" fillId="0" borderId="12" xfId="0" applyFont="1" applyBorder="1" applyNumberFormat="1">
      <alignment horizontal="center" vertical="center" wrapText="1"/>
    </xf>
    <xf numFmtId="0" fontId="34" fillId="0" borderId="12" xfId="0" applyFont="1" applyBorder="1" applyNumberFormat="1">
      <alignment horizontal="center" vertical="center"/>
    </xf>
    <xf numFmtId="0" fontId="0" fillId="38" borderId="12" xfId="0" applyFont="1" applyFill="1" applyBorder="1" applyNumberFormat="1">
      <alignment horizontal="left" vertical="center" wrapText="1"/>
      <protection locked="0"/>
    </xf>
    <xf numFmtId="49" fontId="0" fillId="38" borderId="14"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25" fillId="0" borderId="17" xfId="0" applyFont="1" applyBorder="1" applyNumberFormat="1">
      <alignment horizontal="center" vertical="top" wrapText="1"/>
    </xf>
    <xf numFmtId="49" fontId="19" fillId="0" borderId="36" xfId="0" applyFont="1" applyBorder="1" applyNumberFormat="1">
      <alignment horizontal="center" vertical="top" wrapText="1"/>
    </xf>
    <xf numFmtId="49" fontId="19" fillId="0" borderId="23" xfId="0" applyFont="1" applyBorder="1" applyNumberFormat="1">
      <alignment horizontal="center" vertical="top" wrapText="1"/>
    </xf>
    <xf numFmtId="49" fontId="19" fillId="38" borderId="14" xfId="0" applyFont="1" applyFill="1" applyBorder="1" applyNumberFormat="1">
      <alignment horizontal="left" vertical="center" wrapText="1" indent="1"/>
      <protection locked="0"/>
    </xf>
    <xf numFmtId="49" fontId="19" fillId="38" borderId="12" xfId="0" applyFont="1" applyFill="1" applyBorder="1" applyNumberFormat="1">
      <alignment horizontal="left" vertical="center" wrapText="1" indent="1"/>
      <protection locked="0"/>
    </xf>
    <xf numFmtId="0" fontId="0" fillId="0" borderId="12" xfId="0" applyFont="1" applyBorder="1" applyNumberFormat="1">
      <alignment horizontal="center" vertical="center" wrapText="1"/>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49" fontId="0" fillId="0" borderId="0" xfId="0" applyFont="1" applyNumberFormat="1">
      <alignment horizontal="left" vertical="top"/>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2" xfId="0" applyFont="1" applyBorder="1" applyNumberFormat="1">
      <alignment horizontal="left" vertical="top"/>
    </xf>
    <xf numFmtId="0" fontId="0" fillId="39"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49" fontId="0" fillId="35" borderId="12" xfId="0" applyFont="1" applyFill="1" applyBorder="1" applyNumberFormat="1">
      <alignment horizontal="left" vertical="top"/>
      <protection locked="0"/>
    </xf>
    <xf numFmtId="49" fontId="0" fillId="0" borderId="19" xfId="0" applyFont="1" applyBorder="1" applyNumberFormat="1">
      <alignment horizontal="left" vertical="center" wrapText="1"/>
    </xf>
    <xf numFmtId="0" fontId="0" fillId="0" borderId="19" xfId="0" applyFont="1" applyBorder="1" applyNumberFormat="1">
      <alignment horizontal="center" vertical="center"/>
    </xf>
    <xf numFmtId="0" fontId="0" fillId="0" borderId="0" xfId="0" applyFont="1" applyNumberFormat="1">
      <alignment horizontal="center" vertical="center"/>
    </xf>
    <xf numFmtId="14" fontId="71" fillId="0" borderId="17" xfId="0" applyFont="1" applyBorder="1" applyNumberFormat="1">
      <alignment horizontal="center" vertical="center" wrapText="1"/>
    </xf>
    <xf numFmtId="14" fontId="71" fillId="0" borderId="36" xfId="0" applyFont="1" applyBorder="1" applyNumberFormat="1">
      <alignment horizontal="center" vertical="center" wrapText="1"/>
    </xf>
    <xf numFmtId="0" fontId="65" fillId="0" borderId="12" xfId="0" applyFont="1" applyBorder="1" applyNumberFormat="1">
      <alignment horizontal="left" vertical="center" wrapText="1" indent="1"/>
    </xf>
    <xf numFmtId="0" fontId="65" fillId="0" borderId="12" xfId="0" applyFont="1" applyBorder="1" applyNumberFormat="1">
      <alignment horizontal="left" vertical="top" indent="1"/>
    </xf>
    <xf numFmtId="0" fontId="24" fillId="0" borderId="12" xfId="0" applyFont="1" applyBorder="1" applyNumberFormat="1">
      <alignment horizontal="center" vertical="center" wrapText="1"/>
    </xf>
    <xf numFmtId="0" fontId="19" fillId="39" borderId="12" xfId="0" applyFont="1" applyFill="1" applyBorder="1" applyNumberFormat="1">
      <alignment horizontal="left" vertical="center" wrapText="1" indent="1"/>
    </xf>
    <xf numFmtId="49" fontId="19" fillId="39" borderId="12" xfId="0" applyFont="1" applyFill="1" applyBorder="1" applyNumberFormat="1">
      <alignment horizontal="center" vertical="top" wrapText="1"/>
    </xf>
    <xf numFmtId="49" fontId="19" fillId="39" borderId="14" xfId="0" applyFont="1" applyFill="1" applyBorder="1" applyNumberFormat="1">
      <alignment horizontal="center" vertical="top" wrapText="1"/>
    </xf>
    <xf numFmtId="49" fontId="0" fillId="33" borderId="12" xfId="0" applyFont="1" applyFill="1" applyBorder="1" applyNumberFormat="1">
      <alignment horizontal="center" vertical="top" wrapText="1"/>
    </xf>
    <xf numFmtId="0" fontId="19" fillId="33" borderId="12" xfId="0" applyFont="1" applyFill="1" applyBorder="1" applyNumberFormat="1">
      <alignment horizontal="center" vertical="top" wrapText="1"/>
    </xf>
    <xf numFmtId="49" fontId="19" fillId="39" borderId="14" xfId="0" applyFont="1" applyFill="1" applyBorder="1" applyNumberFormat="1">
      <alignment horizontal="center" vertical="center" wrapText="1"/>
    </xf>
    <xf numFmtId="49" fontId="29" fillId="36" borderId="51" xfId="0" applyFont="1" applyFill="1" applyBorder="1" applyNumberFormat="1">
      <alignment horizontal="left" vertical="center" indent="1"/>
    </xf>
    <xf numFmtId="49" fontId="19" fillId="33" borderId="12" xfId="0" applyFont="1" applyFill="1" applyBorder="1" applyNumberFormat="1">
      <alignment horizontal="center" vertical="center" wrapText="1"/>
    </xf>
    <xf numFmtId="49" fontId="19" fillId="33" borderId="58" xfId="0" applyFont="1" applyFill="1" applyBorder="1" applyNumberFormat="1">
      <alignment horizontal="center" vertical="center" wrapText="1"/>
    </xf>
    <xf numFmtId="3" fontId="19" fillId="38" borderId="12" xfId="0" applyFont="1" applyFill="1" applyBorder="1" applyNumberFormat="1">
      <alignment horizontal="center" vertical="center" wrapText="1"/>
      <protection locked="0"/>
    </xf>
    <xf numFmtId="49" fontId="19" fillId="33" borderId="12" xfId="0" applyFont="1" applyFill="1" applyBorder="1" applyNumberFormat="1">
      <alignment horizontal="left" vertical="center" wrapText="1"/>
    </xf>
    <xf numFmtId="49" fontId="19" fillId="39" borderId="13" xfId="0" applyFont="1" applyFill="1" applyBorder="1" applyNumberFormat="1">
      <alignment horizontal="left" vertical="center" wrapText="1"/>
    </xf>
    <xf numFmtId="49" fontId="19" fillId="38" borderId="12" xfId="0" applyFont="1" applyFill="1" applyBorder="1" applyNumberFormat="1">
      <alignment horizontal="left" vertical="center" wrapText="1"/>
      <protection locked="0"/>
    </xf>
    <xf numFmtId="49" fontId="113" fillId="0" borderId="13" xfId="0" applyFont="1" applyBorder="1" applyNumberFormat="1">
      <alignment horizontal="center" vertical="center" wrapText="1"/>
    </xf>
    <xf numFmtId="0" fontId="19" fillId="39" borderId="17" xfId="0" applyFont="1" applyFill="1" applyBorder="1" applyNumberFormat="1">
      <alignment horizontal="left" vertical="center" wrapText="1"/>
    </xf>
    <xf numFmtId="0" fontId="19" fillId="39" borderId="36" xfId="0" applyFont="1" applyFill="1" applyBorder="1" applyNumberFormat="1">
      <alignment horizontal="left" vertical="center" wrapText="1"/>
    </xf>
    <xf numFmtId="49" fontId="19" fillId="39" borderId="17" xfId="0" applyFont="1" applyFill="1" applyBorder="1" applyNumberFormat="1">
      <alignment horizontal="left" vertical="center" wrapText="1"/>
    </xf>
    <xf numFmtId="49" fontId="19" fillId="0" borderId="36" xfId="0" applyFont="1" applyBorder="1" applyNumberFormat="1">
      <alignment horizontal="center" vertical="center"/>
    </xf>
    <xf numFmtId="0" fontId="19" fillId="0" borderId="24" xfId="0" applyFont="1" applyBorder="1" applyNumberFormat="1">
      <alignment horizontal="center" vertical="center"/>
    </xf>
    <xf numFmtId="49" fontId="19" fillId="35" borderId="17" xfId="0" applyFont="1" applyFill="1" applyBorder="1" applyNumberFormat="1">
      <alignment horizontal="left" vertical="center" wrapText="1"/>
      <protection locked="0"/>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0" fontId="29" fillId="36" borderId="19" xfId="0" applyFont="1" applyFill="1" applyBorder="1" applyNumberFormat="1">
      <alignment horizontal="left" vertical="center"/>
    </xf>
    <xf numFmtId="0" fontId="29" fillId="36" borderId="20" xfId="0" applyFont="1" applyFill="1" applyBorder="1" applyNumberFormat="1">
      <alignment horizontal="left" vertical="center"/>
    </xf>
    <xf numFmtId="49" fontId="19" fillId="38" borderId="17" xfId="0" applyFont="1" applyFill="1" applyBorder="1" applyNumberFormat="1">
      <alignment horizontal="left" vertical="center" wrapText="1"/>
      <protection locked="0"/>
    </xf>
    <xf numFmtId="49" fontId="85" fillId="0" borderId="12" xfId="0" applyFont="1" applyBorder="1" applyNumberFormat="1">
      <alignment horizontal="center" vertical="top" wrapText="1"/>
    </xf>
    <xf numFmtId="0" fontId="85" fillId="40" borderId="12" xfId="0" applyFont="1" applyFill="1" applyBorder="1" applyNumberFormat="1">
      <alignment horizontal="center" vertical="center" wrapText="1"/>
    </xf>
    <xf numFmtId="49" fontId="85" fillId="0" borderId="37"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23" xfId="0" applyFont="1" applyBorder="1" applyNumberFormat="1">
      <alignment horizontal="center" vertical="top" wrapText="1"/>
    </xf>
    <xf numFmtId="4" fontId="19" fillId="33" borderId="12" xfId="0" applyFont="1" applyFill="1" applyBorder="1" applyNumberFormat="1">
      <alignment horizontal="left" vertical="center" wrapText="1"/>
    </xf>
    <xf numFmtId="0" fontId="36" fillId="0" borderId="0" xfId="0" applyFont="1" applyNumberFormat="1">
      <alignment horizontal="center" vertical="center" wrapText="1"/>
    </xf>
    <xf numFmtId="0" fontId="19" fillId="39"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protection locked="0"/>
    </xf>
    <xf numFmtId="0" fontId="19" fillId="39" borderId="15" xfId="0" applyFont="1" applyFill="1" applyBorder="1" applyNumberFormat="1">
      <alignment horizontal="left" vertical="center" wrapText="1"/>
      <protection locked="0"/>
    </xf>
    <xf numFmtId="0" fontId="19" fillId="39" borderId="13" xfId="0" applyFont="1" applyFill="1" applyBorder="1" applyNumberFormat="1">
      <alignment horizontal="left" vertical="center" wrapText="1"/>
      <protection locked="0"/>
    </xf>
    <xf numFmtId="0" fontId="19" fillId="0" borderId="0" xfId="0" applyFont="1" applyNumberFormat="1">
      <alignment horizontal="right" vertical="center" wrapText="1"/>
    </xf>
    <xf numFmtId="0" fontId="35" fillId="0" borderId="19" xfId="0" applyFont="1" applyBorder="1" applyNumberFormat="1">
      <alignment horizontal="left" vertical="center" wrapText="1" indent="1"/>
    </xf>
    <xf numFmtId="0" fontId="35" fillId="0" borderId="27" xfId="0" applyFont="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0" fontId="0" fillId="0" borderId="12" xfId="0" applyFont="1" applyBorder="1" applyNumberFormat="1">
      <alignment horizontal="center" vertical="center" wrapText="1"/>
    </xf>
    <xf numFmtId="0" fontId="24" fillId="34" borderId="0" xfId="0" applyFont="1" applyFill="1" applyNumberFormat="1">
      <alignment horizontal="center" vertical="center" wrapText="1"/>
    </xf>
    <xf numFmtId="0" fontId="72" fillId="0" borderId="0" xfId="0" applyFont="1" applyNumberFormat="1">
      <alignment horizontal="center" vertical="center" wrapText="1"/>
    </xf>
    <xf numFmtId="49" fontId="29" fillId="36" borderId="12" xfId="0" applyFont="1" applyFill="1" applyBorder="1" applyNumberFormat="1">
      <alignment horizontal="center" vertical="center" textRotation="90" wrapText="1"/>
    </xf>
    <xf numFmtId="0" fontId="35" fillId="0" borderId="15" xfId="0" applyFont="1" applyBorder="1" applyNumberFormat="1">
      <alignment horizontal="left" vertical="center" wrapText="1" indent="1"/>
    </xf>
    <xf numFmtId="0" fontId="19" fillId="33" borderId="14" xfId="0" applyFont="1" applyFill="1" applyBorder="1" applyNumberFormat="1">
      <alignment horizontal="left" vertical="center" wrapText="1" indent="1"/>
    </xf>
    <xf numFmtId="0" fontId="19" fillId="33" borderId="15" xfId="0" applyFont="1" applyFill="1" applyBorder="1" applyNumberFormat="1">
      <alignment horizontal="left" vertical="center" wrapText="1" indent="1"/>
    </xf>
    <xf numFmtId="0" fontId="19" fillId="33" borderId="13" xfId="0" applyFont="1" applyFill="1" applyBorder="1" applyNumberFormat="1">
      <alignment horizontal="left" vertical="center" wrapText="1" inden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114" fillId="0" borderId="12" xfId="0" applyFont="1" applyBorder="1" applyNumberFormat="1">
      <alignment horizontal="left" vertical="center" wrapText="1" indent="1"/>
    </xf>
    <xf numFmtId="0" fontId="105" fillId="0" borderId="0" xfId="0" applyFont="1" applyNumberForma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92" fillId="0" borderId="0" xfId="0" applyFont="1" applyNumberFormat="1">
      <alignment vertical="center" wrapText="1"/>
    </xf>
    <xf numFmtId="0" fontId="92" fillId="0" borderId="0" xfId="0" applyFont="1" applyNumberFormat="1">
      <alignment horizontal="left" vertical="center" wrapText="1"/>
    </xf>
    <xf numFmtId="49" fontId="107" fillId="0" borderId="0" xfId="0" applyFont="1" applyNumberFormat="1">
      <alignment wrapText="1"/>
    </xf>
    <xf numFmtId="0" fontId="92" fillId="0" borderId="0" xfId="0" applyFont="1" applyNumberFormat="1">
      <alignment vertical="center"/>
    </xf>
    <xf numFmtId="0" fontId="35" fillId="0" borderId="0" xfId="0" applyFont="1" applyNumberFormat="1">
      <alignment horizontal="left" vertical="top" wrapText="1"/>
    </xf>
    <xf numFmtId="49" fontId="19" fillId="0" borderId="0" xfId="0" applyFont="1" applyNumberFormat="1">
      <alignment vertical="top" wrapText="1"/>
    </xf>
    <xf numFmtId="0" fontId="35" fillId="54" borderId="67" xfId="0" applyFont="1" applyFill="1" applyBorder="1" applyNumberFormat="1">
      <alignment horizontal="center" vertical="center" wrapText="1"/>
    </xf>
    <xf numFmtId="0" fontId="35" fillId="54" borderId="68" xfId="0" applyFont="1" applyFill="1" applyBorder="1" applyNumberFormat="1">
      <alignment horizontal="center" vertical="center" wrapText="1"/>
    </xf>
    <xf numFmtId="0" fontId="35" fillId="54" borderId="69" xfId="0" applyFont="1" applyFill="1" applyBorder="1" applyNumberFormat="1">
      <alignment horizontal="center" vertical="center" wrapText="1"/>
    </xf>
    <xf numFmtId="0" fontId="56" fillId="0" borderId="0" xfId="0" applyFont="1" applyNumberFormat="1">
      <alignment wrapText="1"/>
    </xf>
    <xf numFmtId="0" fontId="35" fillId="45" borderId="38" xfId="0" applyFont="1" applyFill="1" applyBorder="1" applyNumberFormat="1">
      <alignment horizontal="right" vertical="center" wrapText="1" indent="1"/>
    </xf>
    <xf numFmtId="0" fontId="35" fillId="45" borderId="66" xfId="0" applyFont="1" applyFill="1" applyBorder="1" applyNumberFormat="1">
      <alignment horizontal="right" vertical="center" wrapText="1" indent="1"/>
    </xf>
    <xf numFmtId="0" fontId="108" fillId="0" borderId="0" xfId="0" applyFont="1" applyNumberFormat="1">
      <alignment horizontal="left" vertical="center" wrapText="1"/>
    </xf>
    <xf numFmtId="0" fontId="109" fillId="0" borderId="0" xfId="0" applyFont="1" applyNumberFormat="1">
      <alignment vertical="center" wrapText="1"/>
    </xf>
    <xf numFmtId="0" fontId="56" fillId="0" borderId="38" xfId="0" applyFont="1" applyBorder="1" applyNumberFormat="1">
      <alignment wrapText="1"/>
    </xf>
    <xf numFmtId="0" fontId="56" fillId="0" borderId="0" xfId="0" applyFont="1" applyNumberFormat="1"/>
    <xf numFmtId="0" fontId="108" fillId="0" borderId="0" xfId="0" applyFont="1" applyNumberFormat="1"/>
    <xf numFmtId="0" fontId="110" fillId="0" borderId="0" xfId="0" applyFont="1" applyNumberFormat="1">
      <alignment wrapText="1"/>
    </xf>
    <xf numFmtId="0" fontId="0" fillId="35" borderId="62" xfId="0" applyFont="1" applyFill="1" applyBorder="1" applyNumberFormat="1">
      <alignment horizontal="center" vertical="center" wrapText="1"/>
    </xf>
    <xf numFmtId="0" fontId="110" fillId="0" borderId="38" xfId="0" applyFont="1" applyBorder="1" applyNumberFormat="1">
      <alignment vertical="center" wrapText="1"/>
    </xf>
    <xf numFmtId="0" fontId="110" fillId="0" borderId="0" xfId="0" applyFont="1" applyNumberFormat="1">
      <alignment vertical="center" wrapText="1"/>
    </xf>
    <xf numFmtId="0" fontId="0" fillId="52" borderId="62" xfId="0" applyFont="1" applyFill="1" applyBorder="1" applyNumberFormat="1">
      <alignment horizontal="center" vertical="center" wrapText="1"/>
    </xf>
    <xf numFmtId="0" fontId="110" fillId="0" borderId="38" xfId="0" applyFont="1" applyBorder="1" applyNumberFormat="1">
      <alignment horizontal="left" vertical="center" wrapText="1"/>
    </xf>
    <xf numFmtId="0" fontId="110" fillId="0" borderId="0" xfId="0" applyFont="1" applyNumberFormat="1">
      <alignment horizontal="left" vertical="center" wrapText="1"/>
    </xf>
    <xf numFmtId="0" fontId="0" fillId="33" borderId="62" xfId="0" applyFont="1" applyFill="1" applyBorder="1" applyNumberFormat="1">
      <alignment horizontal="center" vertical="center" wrapText="1"/>
    </xf>
    <xf numFmtId="0" fontId="0" fillId="38" borderId="62" xfId="0" applyFont="1" applyFill="1" applyBorder="1" applyNumberFormat="1">
      <alignment horizontal="center" vertical="center" wrapText="1"/>
    </xf>
    <xf numFmtId="0" fontId="35" fillId="45" borderId="0" xfId="0" applyFont="1" applyFill="1" applyNumberFormat="1">
      <alignment horizontal="right" vertical="center" wrapText="1" indent="1"/>
    </xf>
    <xf numFmtId="0" fontId="108" fillId="0" borderId="38" xfId="0" applyFont="1" applyBorder="1" applyNumberFormat="1">
      <alignment horizontal="left" vertical="center" wrapText="1"/>
    </xf>
    <xf numFmtId="0" fontId="108" fillId="0" borderId="63" xfId="0" applyFont="1" applyBorder="1" applyNumberFormat="1">
      <alignment horizontal="left" vertical="center" wrapText="1"/>
    </xf>
    <xf numFmtId="0" fontId="35" fillId="45" borderId="62" xfId="0" applyFont="1" applyFill="1" applyBorder="1" applyNumberFormat="1">
      <alignment horizontal="right" vertical="center" wrapText="1" indent="1"/>
    </xf>
    <xf numFmtId="0" fontId="35" fillId="45" borderId="65" xfId="0" applyFont="1" applyFill="1" applyBorder="1" applyNumberFormat="1">
      <alignment horizontal="right" vertical="center" wrapText="1" indent="1"/>
    </xf>
    <xf numFmtId="0" fontId="110" fillId="0" borderId="0" xfId="0" applyFont="1" applyNumberFormat="1"/>
    <xf numFmtId="0" fontId="110" fillId="0" borderId="38" xfId="0" applyFont="1" applyBorder="1" applyNumberFormat="1">
      <alignment wrapText="1"/>
    </xf>
    <xf numFmtId="0" fontId="110" fillId="0" borderId="0" xfId="0" applyFont="1" applyNumberFormat="1">
      <alignment vertical="top" wrapText="1"/>
    </xf>
    <xf numFmtId="0" fontId="35" fillId="45" borderId="64" xfId="0" applyFont="1" applyFill="1" applyBorder="1" applyNumberFormat="1">
      <alignment horizontal="right" vertical="center" wrapText="1" indent="1"/>
    </xf>
    <xf numFmtId="0" fontId="35" fillId="45" borderId="39" xfId="0" applyFont="1" applyFill="1" applyBorder="1" applyNumberFormat="1">
      <alignment horizontal="right" vertical="center" wrapText="1" indent="1"/>
    </xf>
    <xf numFmtId="0" fontId="56" fillId="0" borderId="64" xfId="0" applyFont="1" applyBorder="1" applyNumberFormat="1">
      <alignment wrapText="1"/>
    </xf>
    <xf numFmtId="0" fontId="56" fillId="0" borderId="39" xfId="0" applyFont="1" applyBorder="1" applyNumberFormat="1">
      <alignment wrapText="1"/>
    </xf>
    <xf numFmtId="0" fontId="56" fillId="0" borderId="39" xfId="0" applyFont="1" applyBorder="1" applyNumberFormat="1">
      <alignment vertical="center" wrapText="1"/>
    </xf>
    <xf numFmtId="0" fontId="106" fillId="0" borderId="0" xfId="0" applyFont="1" applyNumberFormat="1"/>
    <xf numFmtId="49" fontId="56" fillId="0" borderId="0" xfId="0" applyFont="1" applyNumberFormat="1">
      <alignment vertical="top" wrapText="1"/>
    </xf>
    <xf numFmtId="0" fontId="27" fillId="0" borderId="0" xfId="0" applyFont="1" applyNumberFormat="1"/>
    <xf numFmtId="0" fontId="53" fillId="0" borderId="0" xfId="0" applyFont="1" applyNumberFormat="1">
      <alignment vertical="center" wrapText="1"/>
    </xf>
    <xf numFmtId="0" fontId="81" fillId="0" borderId="0" xfId="0" applyFont="1" applyNumberFormat="1">
      <alignment horizontal="left" vertical="center" wrapText="1"/>
    </xf>
    <xf numFmtId="0" fontId="53" fillId="0" borderId="0" xfId="0" applyFont="1" applyNumberFormat="1">
      <alignment horizontal="left" vertical="center" wrapText="1"/>
    </xf>
    <xf numFmtId="0" fontId="20" fillId="0" borderId="0" xfId="0" applyFont="1" applyNumberFormat="1">
      <alignment horizontal="center" vertical="center" wrapText="1"/>
    </xf>
    <xf numFmtId="0" fontId="20"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horizontal="left" vertical="center" wrapText="1"/>
    </xf>
    <xf numFmtId="0" fontId="19" fillId="0" borderId="0" xfId="0" applyFont="1" applyNumberFormat="1">
      <alignment horizontal="left" vertical="top" indent="1"/>
    </xf>
    <xf numFmtId="49" fontId="56" fillId="0" borderId="0" xfId="0" applyFont="1" applyNumberFormat="1">
      <alignment vertical="top"/>
    </xf>
    <xf numFmtId="49" fontId="19" fillId="0" borderId="0" xfId="0" applyFont="1" applyNumberFormat="1">
      <alignment vertical="center" wrapText="1"/>
    </xf>
    <xf numFmtId="49" fontId="36"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36" fillId="0" borderId="0" xfId="0" applyFont="1" applyNumberFormat="1">
      <alignment vertical="top"/>
    </xf>
    <xf numFmtId="49" fontId="0" fillId="0" borderId="0" xfId="0" applyFont="1" applyNumberFormat="1">
      <alignment vertical="top"/>
    </xf>
    <xf numFmtId="0" fontId="50" fillId="0" borderId="0" xfId="0" applyFont="1" applyNumberFormat="1">
      <alignment vertical="center" wrapText="1"/>
    </xf>
    <xf numFmtId="0" fontId="81" fillId="0" borderId="0" xfId="0" applyFont="1" applyNumberFormat="1">
      <alignment horizontal="lef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0" fillId="0" borderId="0" xfId="0" applyFont="1" applyNumberFormat="1">
      <alignment vertical="center" wrapText="1"/>
    </xf>
    <xf numFmtId="0" fontId="50" fillId="0" borderId="0" xfId="0" applyFont="1" applyNumberFormat="1">
      <alignment horizontal="right" vertical="center"/>
    </xf>
    <xf numFmtId="0" fontId="19" fillId="0" borderId="0" xfId="0" applyFont="1" applyNumberFormat="1">
      <alignment horizontal="center" vertical="center" wrapText="1"/>
    </xf>
    <xf numFmtId="0" fontId="19" fillId="0" borderId="0" xfId="0" applyFont="1" applyNumberFormat="1">
      <alignment vertical="center" wrapText="1"/>
    </xf>
    <xf numFmtId="0" fontId="78" fillId="0" borderId="0" xfId="0" applyFont="1" applyNumberFormat="1">
      <alignment vertical="center" wrapText="1"/>
    </xf>
    <xf numFmtId="0" fontId="22" fillId="34" borderId="0" xfId="0" applyFont="1" applyFill="1" applyNumberFormat="1">
      <alignment vertical="center" wrapText="1"/>
    </xf>
    <xf numFmtId="0" fontId="19" fillId="0" borderId="13" xfId="0" applyFont="1" applyBorder="1" applyNumberFormat="1">
      <alignment horizontal="center" vertical="center" wrapText="1"/>
    </xf>
    <xf numFmtId="0" fontId="19" fillId="0" borderId="14" xfId="0" applyFont="1" applyBorder="1" applyNumberFormat="1">
      <alignment horizontal="center" vertical="center" wrapText="1"/>
    </xf>
    <xf numFmtId="0" fontId="39" fillId="34" borderId="0" xfId="0" applyFont="1" applyFill="1" applyNumberFormat="1">
      <alignment vertical="center" wrapText="1"/>
    </xf>
    <xf numFmtId="0" fontId="86" fillId="0" borderId="0" xfId="0" applyFont="1" applyNumberFormat="1">
      <alignment vertical="center" wrapText="1"/>
    </xf>
    <xf numFmtId="0" fontId="50" fillId="34" borderId="0" xfId="0" applyFont="1" applyFill="1" applyNumberFormat="1">
      <alignment horizontal="right" vertical="center" wrapText="1" indent="1"/>
    </xf>
    <xf numFmtId="0" fontId="52" fillId="34" borderId="0" xfId="0" applyFont="1" applyFill="1" applyNumberFormat="1">
      <alignment horizontal="center" vertical="center" wrapText="1"/>
    </xf>
    <xf numFmtId="0" fontId="19" fillId="34" borderId="26" xfId="0" applyFont="1" applyFill="1" applyBorder="1" applyNumberFormat="1">
      <alignment horizontal="right" vertical="center" wrapText="1" indent="1"/>
    </xf>
    <xf numFmtId="0" fontId="0" fillId="33" borderId="12" xfId="0" applyFont="1" applyFill="1" applyBorder="1" applyNumberFormat="1">
      <alignment horizontal="left" vertical="center" wrapText="1" indent="1"/>
    </xf>
    <xf numFmtId="14" fontId="81" fillId="34" borderId="0" xfId="0" applyFont="1" applyFill="1" applyNumberFormat="1">
      <alignment horizontal="left" vertical="center" wrapText="1"/>
    </xf>
    <xf numFmtId="0" fontId="48" fillId="34" borderId="0" xfId="0" applyFont="1" applyFill="1" applyNumberFormat="1">
      <alignment horizontal="center" vertical="center" wrapText="1"/>
    </xf>
    <xf numFmtId="0" fontId="50" fillId="34" borderId="0" xfId="0" applyFont="1" applyFill="1" applyNumberFormat="1">
      <alignment horizontal="left" vertical="center" wrapText="1" indent="1"/>
    </xf>
    <xf numFmtId="0" fontId="19" fillId="34" borderId="0" xfId="0" applyFont="1" applyFill="1" applyNumberFormat="1">
      <alignment horizontal="center" vertical="center" wrapText="1"/>
    </xf>
    <xf numFmtId="0" fontId="78" fillId="0" borderId="0" xfId="0" applyFont="1" applyNumberFormat="1">
      <alignment horizontal="center" vertical="center" wrapText="1"/>
    </xf>
    <xf numFmtId="0" fontId="21" fillId="0" borderId="0" xfId="0" applyFont="1" applyNumberFormat="1">
      <alignment vertical="center" wrapText="1"/>
    </xf>
    <xf numFmtId="0" fontId="22" fillId="34" borderId="0" xfId="0" applyFont="1" applyFill="1" applyNumberFormat="1">
      <alignment vertical="center" wrapText="1"/>
    </xf>
    <xf numFmtId="0" fontId="19" fillId="34" borderId="26" xfId="0" applyFont="1" applyFill="1" applyBorder="1" applyNumberFormat="1">
      <alignment horizontal="right" vertical="center" wrapText="1" indent="1"/>
    </xf>
    <xf numFmtId="0" fontId="19" fillId="38" borderId="12" xfId="0" applyFont="1" applyFill="1" applyBorder="1" applyNumberFormat="1">
      <alignment horizontal="left" vertical="center" wrapText="1" indent="1"/>
      <protection locked="0"/>
    </xf>
    <xf numFmtId="0" fontId="36" fillId="0" borderId="0" xfId="0" applyFont="1" applyNumberFormat="1">
      <alignment vertical="center" wrapText="1"/>
    </xf>
    <xf numFmtId="0" fontId="50" fillId="0" borderId="0" xfId="0" applyFont="1" applyNumberFormat="1">
      <alignmen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14" fontId="83" fillId="0" borderId="12" xfId="0" applyFont="1" applyBorder="1" applyNumberFormat="1">
      <alignment horizontal="center" vertical="center" wrapText="1"/>
    </xf>
    <xf numFmtId="174" fontId="0" fillId="38" borderId="12" xfId="0" applyFont="1" applyFill="1" applyBorder="1" applyNumberFormat="1">
      <alignment horizontal="left" vertical="center" wrapText="1" indent="1"/>
      <protection locked="0"/>
    </xf>
    <xf numFmtId="0" fontId="43" fillId="0" borderId="0" xfId="0" applyFont="1" applyNumberFormat="1">
      <alignment horizontal="left" vertical="center" indent="1"/>
    </xf>
    <xf numFmtId="0" fontId="19" fillId="34" borderId="0" xfId="0" applyFont="1" applyFill="1" applyNumberFormat="1">
      <alignment vertical="center" wrapText="1"/>
    </xf>
    <xf numFmtId="14" fontId="83" fillId="0" borderId="12" xfId="0" applyFont="1" applyBorder="1" applyNumberFormat="1">
      <alignment horizontal="left" vertical="center" wrapText="1"/>
    </xf>
    <xf numFmtId="49" fontId="19" fillId="34" borderId="26" xfId="0" applyFont="1" applyFill="1" applyBorder="1" applyNumberFormat="1">
      <alignment horizontal="right" vertical="center" wrapText="1" indent="1"/>
    </xf>
    <xf numFmtId="174" fontId="0" fillId="38" borderId="12" xfId="0" applyFont="1" applyFill="1" applyBorder="1" applyNumberFormat="1">
      <alignment horizontal="left" vertical="center" wrapText="1" indent="1"/>
      <protection locked="0"/>
    </xf>
    <xf numFmtId="49" fontId="36" fillId="0" borderId="0" xfId="0" applyFont="1" applyNumberFormat="1">
      <alignment vertical="center" wrapText="1"/>
    </xf>
    <xf numFmtId="0" fontId="0" fillId="38" borderId="12" xfId="0" applyFont="1" applyFill="1" applyBorder="1" applyNumberFormat="1">
      <alignment horizontal="left" vertical="center" wrapText="1" indent="1"/>
      <protection locked="0"/>
    </xf>
    <xf numFmtId="49" fontId="19" fillId="38" borderId="12" xfId="0" applyFont="1" applyFill="1" applyBorder="1" applyNumberFormat="1">
      <alignment horizontal="left" vertical="center" wrapText="1" indent="1"/>
      <protection locked="0"/>
    </xf>
    <xf numFmtId="174" fontId="0" fillId="0" borderId="12" xfId="0" applyFont="1" applyBorder="1" applyNumberFormat="1">
      <alignment horizontal="left" vertical="center" wrapText="1" indent="1"/>
    </xf>
    <xf numFmtId="0" fontId="0" fillId="34" borderId="0" xfId="0" applyFont="1" applyFill="1" applyNumberFormat="1">
      <alignment horizontal="right" vertical="center" wrapText="1" indent="1"/>
    </xf>
    <xf numFmtId="0" fontId="86" fillId="0" borderId="0" xfId="0" applyFont="1" applyNumberFormat="1">
      <alignment horizontal="left" vertical="center" wrapText="1"/>
    </xf>
    <xf numFmtId="0" fontId="19" fillId="34" borderId="0" xfId="0" applyFont="1" applyFill="1" applyNumberFormat="1">
      <alignment horizontal="right" vertical="center" wrapText="1" indent="1"/>
    </xf>
    <xf numFmtId="0" fontId="19" fillId="0" borderId="0" xfId="0" applyFont="1" applyNumberFormat="1">
      <alignment horizontal="center" vertical="center" wrapText="1"/>
    </xf>
    <xf numFmtId="0" fontId="19" fillId="34" borderId="0" xfId="0" applyFont="1" applyFill="1" applyNumberFormat="1">
      <alignment horizontal="center" vertical="center" wrapText="1"/>
    </xf>
    <xf numFmtId="0" fontId="0" fillId="34" borderId="0" xfId="0" applyFont="1" applyFill="1" applyNumberFormat="1">
      <alignment horizontal="left" vertical="center" wrapText="1" indent="1"/>
    </xf>
    <xf numFmtId="49" fontId="115" fillId="38" borderId="12" xfId="0" applyFont="1" applyFill="1" applyBorder="1" applyNumberFormat="1">
      <alignment horizontal="left" vertical="center" wrapText="1" indent="1"/>
      <protection locked="0"/>
    </xf>
    <xf numFmtId="49" fontId="19" fillId="0" borderId="12" xfId="0" applyFont="1" applyBorder="1" applyNumberFormat="1">
      <alignment horizontal="left" vertical="center" wrapText="1" indent="1"/>
    </xf>
    <xf numFmtId="0" fontId="21" fillId="0" borderId="0" xfId="0" applyFont="1" applyNumberFormat="1">
      <alignment horizontal="center" vertical="center" wrapText="1"/>
    </xf>
    <xf numFmtId="0" fontId="23" fillId="34" borderId="0" xfId="0" applyFont="1" applyFill="1" applyNumberFormat="1">
      <alignment horizontal="center" vertical="center" wrapText="1"/>
    </xf>
    <xf numFmtId="49" fontId="19" fillId="33" borderId="12" xfId="0" applyFont="1" applyFill="1" applyBorder="1" applyNumberFormat="1">
      <alignment horizontal="left" vertical="center" wrapText="1" indent="1"/>
    </xf>
    <xf numFmtId="14" fontId="19" fillId="34" borderId="0" xfId="0" applyFont="1" applyFill="1" applyNumberFormat="1">
      <alignment horizontal="center" vertical="center" wrapText="1"/>
    </xf>
    <xf numFmtId="0" fontId="0" fillId="34" borderId="26" xfId="0" applyFont="1" applyFill="1" applyBorder="1" applyNumberFormat="1">
      <alignment horizontal="right" vertical="center" wrapText="1" indent="1"/>
    </xf>
    <xf numFmtId="49" fontId="19" fillId="35" borderId="12" xfId="0" applyFont="1" applyFill="1" applyBorder="1" applyNumberFormat="1">
      <alignment horizontal="left" vertical="center" wrapText="1" indent="1"/>
      <protection locked="0"/>
    </xf>
    <xf numFmtId="0" fontId="19" fillId="0" borderId="0" xfId="0" applyFont="1" applyNumberFormat="1">
      <alignment vertical="center"/>
    </xf>
    <xf numFmtId="14" fontId="19" fillId="34" borderId="0" xfId="0" applyFont="1" applyFill="1" applyNumberFormat="1">
      <alignment horizontal="left" vertical="center" wrapText="1"/>
    </xf>
    <xf numFmtId="0" fontId="19" fillId="38" borderId="12" xfId="0" applyFont="1" applyFill="1" applyBorder="1" applyNumberFormat="1">
      <alignment horizontal="left" vertical="center" wrapText="1" indent="1"/>
      <protection locked="0"/>
    </xf>
    <xf numFmtId="0" fontId="51" fillId="34" borderId="0" xfId="0" applyFont="1" applyFill="1" applyNumberFormat="1">
      <alignment horizontal="right" vertical="center" wrapText="1" indent="1"/>
    </xf>
    <xf numFmtId="0" fontId="51" fillId="34" borderId="0" xfId="0" applyFont="1" applyFill="1" applyNumberFormat="1">
      <alignment horizontal="left" vertical="center" wrapText="1" indent="1"/>
    </xf>
    <xf numFmtId="49" fontId="19" fillId="39" borderId="12" xfId="0" applyFont="1" applyFill="1" applyBorder="1" applyNumberFormat="1">
      <alignment horizontal="left" vertical="center" wrapText="1" inden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20" fillId="0" borderId="0" xfId="0" applyFont="1" applyNumberFormat="1">
      <alignment horizontal="left" vertical="center" wrapText="1"/>
    </xf>
    <xf numFmtId="49" fontId="114" fillId="0" borderId="12" xfId="0" applyFont="1" applyBorder="1" applyNumberFormat="1">
      <alignment horizontal="left" vertical="center" wrapText="1" indent="1"/>
    </xf>
    <xf numFmtId="0" fontId="20" fillId="0" borderId="0" xfId="0" applyFont="1" applyNumberFormat="1">
      <alignment horizontal="left" vertical="center" wrapText="1"/>
    </xf>
    <xf numFmtId="0" fontId="19" fillId="0" borderId="0" xfId="0" applyFont="1" applyNumberFormat="1">
      <alignment vertical="center" wrapText="1"/>
    </xf>
    <xf numFmtId="14" fontId="82" fillId="0" borderId="0" xfId="0" applyFont="1" applyNumberFormat="1">
      <alignment horizontal="center" vertical="center" wrapText="1"/>
    </xf>
    <xf numFmtId="0" fontId="21" fillId="0" borderId="0" xfId="0" applyFont="1" applyNumberFormat="1">
      <alignment vertical="center" wrapText="1"/>
    </xf>
    <xf numFmtId="0" fontId="20" fillId="0" borderId="0" xfId="0" applyFont="1" applyNumberFormat="1">
      <alignment horizontal="center" vertical="center" wrapText="1"/>
    </xf>
    <xf numFmtId="0" fontId="19" fillId="0" borderId="0" xfId="0" applyFont="1" applyNumberFormat="1">
      <alignment horizontal="center" vertical="center" wrapText="1"/>
    </xf>
    <xf numFmtId="0" fontId="36" fillId="0" borderId="0" xfId="0" applyFont="1" applyNumberFormat="1">
      <alignment horizontal="center" vertical="center" wrapText="1"/>
    </xf>
    <xf numFmtId="0" fontId="36" fillId="0" borderId="0" xfId="0" applyFont="1" applyNumberFormat="1">
      <alignment vertical="center" wrapText="1"/>
    </xf>
    <xf numFmtId="0" fontId="73" fillId="0" borderId="0" xfId="0" applyFont="1" applyNumberFormat="1">
      <alignment vertical="center" wrapText="1"/>
    </xf>
    <xf numFmtId="0" fontId="19" fillId="39" borderId="12" xfId="0" applyFont="1" applyFill="1" applyBorder="1" applyNumberFormat="1">
      <alignment horizontal="left" vertical="center" wrapText="1" indent="1"/>
    </xf>
    <xf numFmtId="174" fontId="0" fillId="0" borderId="11" xfId="0" applyFont="1" applyBorder="1" applyNumberFormat="1">
      <alignment horizontal="left" vertical="center" wrapText="1" indent="1"/>
    </xf>
    <xf numFmtId="0" fontId="19" fillId="39" borderId="12" xfId="0" applyFont="1" applyFill="1" applyBorder="1" applyNumberFormat="1">
      <alignment horizontal="left" vertical="center" wrapText="1" indent="1"/>
    </xf>
    <xf numFmtId="49" fontId="19" fillId="39" borderId="12" xfId="0" applyFont="1" applyFill="1" applyBorder="1" applyNumberFormat="1">
      <alignment horizontal="left" vertical="center" wrapText="1" indent="1"/>
    </xf>
    <xf numFmtId="0" fontId="81" fillId="0" borderId="0" xfId="0" applyFont="1" applyNumberFormat="1">
      <alignment horizontal="left" vertical="center" wrapText="1"/>
    </xf>
    <xf numFmtId="49" fontId="20" fillId="0" borderId="0" xfId="0" applyFont="1" applyNumberFormat="1">
      <alignment horizontal="left" vertical="center" wrapText="1"/>
    </xf>
    <xf numFmtId="49" fontId="22" fillId="34" borderId="0" xfId="0" applyFont="1" applyFill="1" applyNumberFormat="1">
      <alignment horizontal="center" vertical="center" wrapText="1"/>
    </xf>
    <xf numFmtId="0" fontId="19" fillId="0" borderId="0" xfId="0" applyFont="1" applyNumberFormat="1">
      <alignment horizontal="left" vertical="center" wrapText="1" indent="4"/>
    </xf>
    <xf numFmtId="0" fontId="19" fillId="0" borderId="0" xfId="0" applyFont="1" applyNumberFormat="1">
      <alignment horizontal="left" vertical="center" wrapText="1" indent="1"/>
    </xf>
    <xf numFmtId="49" fontId="19" fillId="38" borderId="12" xfId="0" applyFont="1" applyFill="1" applyBorder="1" applyNumberFormat="1">
      <alignment horizontal="left" vertical="center" wrapText="1" indent="1"/>
      <protection locked="0"/>
    </xf>
    <xf numFmtId="49" fontId="115" fillId="38"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19" fillId="34" borderId="0" xfId="0" applyFont="1" applyFill="1" applyNumberFormat="1">
      <alignment horizontal="right" vertical="center" wrapText="1" indent="1"/>
    </xf>
    <xf numFmtId="49" fontId="19" fillId="0" borderId="0" xfId="0" applyFont="1" applyNumberFormat="1">
      <alignment horizontal="center" vertical="center" wrapText="1"/>
    </xf>
    <xf numFmtId="49" fontId="0" fillId="34" borderId="0" xfId="0" applyFont="1" applyFill="1" applyNumberFormat="1">
      <alignment horizontal="right" vertical="center" wrapText="1" indent="1"/>
    </xf>
    <xf numFmtId="0" fontId="39" fillId="0" borderId="0" xfId="0" applyFont="1" applyNumberFormat="1">
      <alignment vertical="top" wrapText="1"/>
    </xf>
    <xf numFmtId="0" fontId="21" fillId="0" borderId="0" xfId="0" applyFont="1" applyNumberFormat="1">
      <alignment vertical="center" wrapText="1"/>
    </xf>
    <xf numFmtId="0" fontId="19" fillId="0" borderId="0" xfId="0" applyFont="1" applyNumberFormat="1">
      <alignment vertical="center" wrapText="1"/>
    </xf>
    <xf numFmtId="0" fontId="37" fillId="0" borderId="0" xfId="0" applyFont="1" applyNumberFormat="1">
      <alignment vertical="center" wrapText="1"/>
    </xf>
    <xf numFmtId="0" fontId="63" fillId="0" borderId="0" xfId="0" applyFont="1" applyNumberFormat="1">
      <alignment vertical="center" wrapText="1"/>
    </xf>
    <xf numFmtId="0" fontId="37" fillId="0" borderId="0" xfId="0" applyFont="1" applyNumberFormat="1">
      <alignment vertical="center" wrapText="1"/>
    </xf>
    <xf numFmtId="0" fontId="37" fillId="0" borderId="0" xfId="0" applyFont="1" applyNumberFormat="1">
      <alignment horizontal="center" vertical="center" wrapText="1"/>
    </xf>
    <xf numFmtId="0" fontId="37" fillId="0" borderId="0" xfId="0" applyFont="1" applyNumberFormat="1">
      <alignment horizontal="left" vertical="center" indent="1"/>
    </xf>
    <xf numFmtId="0" fontId="37" fillId="0" borderId="0" xfId="0" applyFont="1" applyNumberFormat="1">
      <alignment horizontal="center" vertical="center" wrapText="1"/>
    </xf>
    <xf numFmtId="0" fontId="37" fillId="0" borderId="0" xfId="0" applyFont="1" applyNumberFormat="1">
      <alignment horizontal="left" vertical="center" wrapText="1" indent="1"/>
    </xf>
    <xf numFmtId="0" fontId="37" fillId="0" borderId="0" xfId="0" applyFont="1" applyNumberFormat="1">
      <alignment horizontal="left" vertical="center" indent="1"/>
    </xf>
    <xf numFmtId="0" fontId="46" fillId="0" borderId="0" xfId="0" applyFont="1" applyNumberFormat="1">
      <alignment vertical="center" wrapText="1"/>
    </xf>
    <xf numFmtId="0" fontId="19" fillId="0" borderId="0" xfId="0" applyFont="1" applyNumberFormat="1">
      <alignment horizontal="left" vertical="center" wrapText="1" indent="1"/>
    </xf>
    <xf numFmtId="0" fontId="36" fillId="0" borderId="0" xfId="0" applyFont="1" applyNumberFormat="1">
      <alignment horizontal="left" vertical="center" wrapText="1" indent="1"/>
    </xf>
    <xf numFmtId="0" fontId="46" fillId="0" borderId="0" xfId="0" applyFont="1" applyNumberFormat="1">
      <alignment horizontal="left" vertical="center" wrapText="1" indent="1"/>
    </xf>
    <xf numFmtId="0" fontId="47" fillId="0" borderId="0" xfId="0" applyFont="1" applyNumberFormat="1">
      <alignment horizontal="left" vertical="center" indent="1"/>
    </xf>
    <xf numFmtId="0" fontId="31" fillId="0" borderId="0" xfId="0" applyFont="1" applyNumberFormat="1">
      <alignment vertical="center" wrapText="1"/>
    </xf>
    <xf numFmtId="0" fontId="19" fillId="0" borderId="0" xfId="0" applyFont="1" applyNumberFormat="1">
      <alignment vertical="center" wrapText="1"/>
    </xf>
    <xf numFmtId="0" fontId="36" fillId="0" borderId="0" xfId="0" applyFont="1" applyNumberFormat="1">
      <alignment vertical="center" wrapText="1"/>
    </xf>
    <xf numFmtId="0" fontId="25" fillId="0" borderId="0" xfId="0" applyFont="1" applyNumberFormat="1">
      <alignment horizontal="center"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horizontal="right" vertical="center" wrapText="1"/>
    </xf>
    <xf numFmtId="0" fontId="37" fillId="0" borderId="0" xfId="0" applyFont="1" applyNumberFormat="1">
      <alignment vertical="center"/>
    </xf>
    <xf numFmtId="0" fontId="37" fillId="0" borderId="0" xfId="0" applyFont="1" applyNumberFormat="1">
      <alignment vertical="center"/>
    </xf>
    <xf numFmtId="0" fontId="45" fillId="0" borderId="0" xfId="0" applyFont="1" applyNumberFormat="1">
      <alignment vertical="center"/>
    </xf>
    <xf numFmtId="0" fontId="19" fillId="0" borderId="15" xfId="0" applyFont="1" applyBorder="1" applyNumberFormat="1">
      <alignment horizontal="left" vertical="center" wrapText="1" indent="1"/>
    </xf>
    <xf numFmtId="4" fontId="19" fillId="0" borderId="0" xfId="0" applyFont="1" applyNumberFormat="1">
      <alignment horizontal="right" vertical="center" wrapText="1"/>
    </xf>
    <xf numFmtId="0" fontId="19" fillId="0" borderId="0" xfId="0" applyFont="1" applyNumberFormat="1">
      <alignment horizontal="left" vertical="center" wrapText="1" indent="1"/>
    </xf>
    <xf numFmtId="49" fontId="19" fillId="0" borderId="0" xfId="0" applyFont="1" applyNumberFormat="1">
      <alignment vertical="top"/>
    </xf>
    <xf numFmtId="49" fontId="36" fillId="0" borderId="0" xfId="0" applyFont="1" applyNumberFormat="1">
      <alignment vertical="top"/>
    </xf>
    <xf numFmtId="49" fontId="19" fillId="0" borderId="0" xfId="0" applyFont="1" applyNumberFormat="1">
      <alignment vertical="top"/>
    </xf>
    <xf numFmtId="49" fontId="19" fillId="0" borderId="0" xfId="0" applyFont="1" applyNumberFormat="1">
      <alignment horizontal="center" vertical="center" wrapText="1"/>
    </xf>
    <xf numFmtId="4" fontId="19" fillId="0" borderId="0" xfId="0" applyFont="1" applyNumberFormat="1">
      <alignment horizontal="center" vertical="center" wrapTex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4" fontId="19" fillId="0" borderId="12"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2" xfId="0" applyFont="1" applyBorder="1" applyNumberFormat="1">
      <alignment horizontal="center" vertical="center" wrapText="1"/>
    </xf>
    <xf numFmtId="0" fontId="24" fillId="0" borderId="0" xfId="0" applyFont="1" applyNumberFormat="1">
      <alignment horizontal="center" vertical="center" wrapText="1"/>
    </xf>
    <xf numFmtId="49" fontId="24" fillId="0" borderId="15" xfId="0" applyFont="1" applyBorder="1" applyNumberFormat="1">
      <alignment horizontal="center" vertical="center" wrapText="1"/>
    </xf>
    <xf numFmtId="49" fontId="24" fillId="0" borderId="15" xfId="0" applyFont="1" applyBorder="1" applyNumberFormat="1">
      <alignment horizontal="center" vertical="center" wrapText="1"/>
    </xf>
    <xf numFmtId="0" fontId="36" fillId="0" borderId="0" xfId="0" applyFont="1" applyNumberFormat="1">
      <alignment vertical="center"/>
    </xf>
    <xf numFmtId="0" fontId="36" fillId="0" borderId="0" xfId="0" applyFont="1" applyNumberFormat="1">
      <alignment vertical="center"/>
    </xf>
    <xf numFmtId="0" fontId="44" fillId="0" borderId="0" xfId="0" applyFont="1" applyNumberFormat="1">
      <alignment vertical="center"/>
    </xf>
    <xf numFmtId="49" fontId="19" fillId="36" borderId="19" xfId="0" applyFont="1" applyFill="1" applyBorder="1" applyNumberFormat="1">
      <alignment horizontal="center" vertical="center" wrapText="1"/>
    </xf>
    <xf numFmtId="49" fontId="36" fillId="36" borderId="19" xfId="0" applyFont="1" applyFill="1" applyBorder="1" applyNumberFormat="1">
      <alignment horizontal="left" vertical="center" wrapText="1"/>
    </xf>
    <xf numFmtId="49" fontId="36" fillId="36" borderId="20" xfId="0" applyFont="1" applyFill="1" applyBorder="1" applyNumberFormat="1">
      <alignment horizontal="left" vertical="center" wrapText="1"/>
    </xf>
    <xf numFmtId="0" fontId="37" fillId="0" borderId="22" xfId="0" applyFont="1" applyBorder="1" applyNumberFormat="1">
      <alignment vertical="center"/>
    </xf>
    <xf numFmtId="0" fontId="31" fillId="0" borderId="0" xfId="0" applyFont="1" applyNumberFormat="1">
      <alignment vertical="center" wrapText="1"/>
    </xf>
    <xf numFmtId="0" fontId="19" fillId="0" borderId="0" xfId="0" applyFont="1" applyNumberFormat="1">
      <alignment horizontal="center"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37" fillId="0" borderId="12" xfId="0" applyFont="1" applyBorder="1" applyNumberFormat="1">
      <alignment horizontal="center" vertical="center" wrapText="1"/>
    </xf>
    <xf numFmtId="49" fontId="19" fillId="38" borderId="12" xfId="0" applyFont="1" applyFill="1" applyBorder="1" applyNumberFormat="1">
      <alignment vertical="center" wrapText="1"/>
      <protection locked="0"/>
    </xf>
    <xf numFmtId="49" fontId="36" fillId="0" borderId="12" xfId="0" applyFont="1" applyBorder="1" applyNumberFormat="1">
      <alignment horizontal="left" vertical="center" wrapText="1"/>
    </xf>
    <xf numFmtId="0" fontId="37" fillId="0" borderId="0" xfId="0" applyFont="1" applyNumberFormat="1">
      <alignment vertical="center"/>
    </xf>
    <xf numFmtId="0" fontId="37" fillId="0" borderId="0" xfId="0" applyFont="1" applyNumberFormat="1">
      <alignment vertical="center"/>
    </xf>
    <xf numFmtId="49" fontId="0" fillId="0" borderId="0" xfId="0" applyFont="1" applyNumberFormat="1">
      <alignment vertical="top"/>
    </xf>
    <xf numFmtId="0" fontId="24" fillId="0" borderId="24" xfId="0" applyFont="1" applyBorder="1" applyNumberFormat="1">
      <alignment vertical="top" wrapText="1"/>
    </xf>
    <xf numFmtId="0" fontId="19" fillId="0" borderId="23" xfId="0" applyFont="1" applyBorder="1" applyNumberFormat="1">
      <alignment horizontal="center" vertical="center" wrapText="1"/>
    </xf>
    <xf numFmtId="0" fontId="37" fillId="0" borderId="23" xfId="0" applyFont="1" applyBorder="1" applyNumberFormat="1">
      <alignment horizontal="center" vertical="center" wrapText="1"/>
    </xf>
    <xf numFmtId="14" fontId="19" fillId="39" borderId="23" xfId="0" applyFont="1" applyFill="1" applyBorder="1" applyNumberFormat="1">
      <alignment horizontal="left" vertical="center" wrapText="1" indent="1"/>
    </xf>
    <xf numFmtId="49" fontId="19" fillId="33" borderId="23" xfId="0" applyFont="1" applyFill="1" applyBorder="1" applyNumberFormat="1">
      <alignment horizontal="center" vertical="center" wrapText="1"/>
    </xf>
    <xf numFmtId="0" fontId="64" fillId="0" borderId="0" xfId="0" applyFont="1" applyNumberFormat="1">
      <alignment vertical="center" wrapText="1"/>
    </xf>
    <xf numFmtId="49" fontId="36" fillId="0" borderId="0" xfId="0" applyFont="1" applyNumberFormat="1">
      <alignment vertical="top"/>
    </xf>
    <xf numFmtId="49" fontId="37" fillId="0" borderId="0" xfId="0" applyFont="1" applyNumberFormat="1">
      <alignment vertical="top"/>
    </xf>
    <xf numFmtId="0" fontId="0" fillId="0" borderId="0" xfId="0" applyFont="1" applyNumberFormat="1">
      <alignment vertical="center" wrapText="1"/>
    </xf>
    <xf numFmtId="0" fontId="24" fillId="0" borderId="0" xfId="0" applyFont="1" applyNumberFormat="1">
      <alignment vertical="top" wrapText="1"/>
    </xf>
    <xf numFmtId="49" fontId="39" fillId="36" borderId="14" xfId="0" applyFont="1" applyFill="1" applyBorder="1" applyNumberFormat="1">
      <alignment horizontal="right" vertical="center" wrapText="1"/>
    </xf>
    <xf numFmtId="49" fontId="39" fillId="36" borderId="15"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49" fontId="0" fillId="36" borderId="15" xfId="0" applyFont="1" applyFill="1" applyBorder="1" applyNumberFormat="1">
      <alignment horizontal="right" vertical="center" wrapText="1"/>
    </xf>
    <xf numFmtId="49" fontId="0" fillId="36" borderId="13" xfId="0" applyFont="1" applyFill="1" applyBorder="1" applyNumberFormat="1">
      <alignment horizontal="right" vertical="center" wrapText="1"/>
    </xf>
    <xf numFmtId="49" fontId="19" fillId="36" borderId="14" xfId="0" applyFont="1" applyFill="1" applyBorder="1" applyNumberFormat="1">
      <alignment horizontal="right" vertical="center" wrapText="1"/>
    </xf>
    <xf numFmtId="49" fontId="19" fillId="36" borderId="15" xfId="0" applyFont="1" applyFill="1" applyBorder="1" applyNumberFormat="1">
      <alignment horizontal="right" vertical="center" wrapText="1"/>
    </xf>
    <xf numFmtId="49" fontId="29" fillId="36" borderId="15" xfId="0" applyFont="1" applyFill="1" applyBorder="1" applyNumberFormat="1">
      <alignment horizontal="left" vertical="center"/>
    </xf>
    <xf numFmtId="49" fontId="19" fillId="36" borderId="13" xfId="0" applyFont="1" applyFill="1" applyBorder="1" applyNumberFormat="1">
      <alignment horizontal="right" vertical="center" wrapText="1"/>
    </xf>
    <xf numFmtId="0" fontId="25" fillId="0" borderId="0" xfId="0" applyFont="1" applyNumberFormat="1">
      <alignment horizontal="center" vertical="center" wrapText="1"/>
    </xf>
    <xf numFmtId="0" fontId="19" fillId="0" borderId="21" xfId="0" applyFont="1" applyBorder="1" applyNumberFormat="1">
      <alignment vertical="center" wrapText="1"/>
    </xf>
    <xf numFmtId="0" fontId="19" fillId="0" borderId="0" xfId="0" applyFont="1" applyNumberFormat="1">
      <alignment vertical="center" wrapText="1"/>
    </xf>
    <xf numFmtId="0" fontId="34" fillId="0" borderId="0" xfId="0" applyFont="1" applyNumberFormat="1">
      <alignment vertical="center" wrapText="1"/>
    </xf>
    <xf numFmtId="0" fontId="84" fillId="0" borderId="0" xfId="0" applyFont="1" applyNumberFormat="1">
      <alignment vertical="center" wrapText="1"/>
    </xf>
    <xf numFmtId="0" fontId="40" fillId="0" borderId="0" xfId="0" applyFont="1" applyNumberFormat="1">
      <alignment horizontal="center" vertical="center" wrapText="1"/>
    </xf>
    <xf numFmtId="49" fontId="0" fillId="0" borderId="0" xfId="0" applyFont="1" applyNumberFormat="1">
      <alignment vertical="top"/>
    </xf>
    <xf numFmtId="0" fontId="19" fillId="0" borderId="0" xfId="0" applyFont="1" applyNumberFormat="1">
      <alignment vertical="center"/>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36" fillId="0" borderId="0" xfId="0" applyFont="1" applyNumberFormat="1">
      <alignment vertical="center"/>
    </xf>
    <xf numFmtId="0" fontId="30" fillId="0" borderId="0" xfId="0" applyFont="1" applyNumberFormat="1">
      <alignment vertical="center"/>
    </xf>
    <xf numFmtId="0" fontId="19" fillId="0" borderId="29" xfId="0" applyFont="1" applyBorder="1" applyNumberFormat="1">
      <alignment horizontal="left" vertical="center" indent="1"/>
    </xf>
    <xf numFmtId="0" fontId="19" fillId="0" borderId="23" xfId="0" applyFont="1" applyBorder="1" applyNumberFormat="1">
      <alignment horizontal="left" vertical="center" indent="1"/>
    </xf>
    <xf numFmtId="0" fontId="19" fillId="0" borderId="30" xfId="0" applyFont="1" applyBorder="1" applyNumberFormat="1">
      <alignment horizontal="left" vertical="center" indent="1"/>
    </xf>
    <xf numFmtId="0" fontId="76" fillId="0" borderId="0" xfId="0" applyFont="1" applyNumberFormat="1">
      <alignment vertical="center"/>
    </xf>
    <xf numFmtId="0" fontId="38" fillId="0" borderId="0" xfId="0" applyFont="1" applyNumberFormat="1">
      <alignment vertical="center"/>
    </xf>
    <xf numFmtId="0" fontId="98" fillId="0" borderId="0" xfId="0" applyFont="1" applyNumberFormat="1">
      <alignment vertical="center"/>
    </xf>
    <xf numFmtId="0" fontId="30" fillId="0" borderId="0" xfId="0" applyFont="1" applyNumberFormat="1">
      <alignment vertical="center"/>
    </xf>
    <xf numFmtId="0" fontId="19" fillId="0" borderId="0" xfId="0" applyFont="1" applyNumberFormat="1">
      <alignment horizontal="center" vertical="center" wrapText="1"/>
    </xf>
    <xf numFmtId="0" fontId="19" fillId="0" borderId="0" xfId="0" applyFont="1" applyNumberFormat="1">
      <alignment vertical="center" wrapText="1"/>
    </xf>
    <xf numFmtId="0" fontId="76" fillId="0" borderId="0" xfId="0" applyFont="1" applyNumberFormat="1">
      <alignment vertical="center"/>
    </xf>
    <xf numFmtId="0" fontId="38" fillId="0" borderId="0" xfId="0" applyFont="1" applyNumberFormat="1">
      <alignment vertical="center"/>
    </xf>
    <xf numFmtId="0" fontId="98"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42" fillId="0" borderId="0" xfId="0" applyFont="1" applyNumberFormat="1">
      <alignment vertical="center"/>
    </xf>
    <xf numFmtId="0" fontId="19" fillId="41" borderId="0" xfId="0" applyFont="1" applyFill="1" applyNumberFormat="1">
      <alignment horizontal="center" vertical="center" wrapText="1"/>
    </xf>
    <xf numFmtId="0" fontId="19" fillId="0" borderId="0" xfId="0" applyFont="1" applyNumberFormat="1">
      <alignment vertical="center" wrapText="1"/>
    </xf>
    <xf numFmtId="0" fontId="19" fillId="0" borderId="12" xfId="0" applyFont="1" applyBorder="1" applyNumberFormat="1">
      <alignment horizontal="center" vertical="center" wrapText="1"/>
    </xf>
    <xf numFmtId="0" fontId="65" fillId="0" borderId="37" xfId="0" applyFont="1" applyBorder="1" applyNumberFormat="1">
      <alignment horizontal="center" vertical="center" wrapText="1"/>
    </xf>
    <xf numFmtId="0" fontId="65" fillId="0" borderId="19" xfId="0" applyFont="1" applyBorder="1" applyNumberFormat="1">
      <alignment horizontal="center" vertical="center" wrapText="1"/>
    </xf>
    <xf numFmtId="0" fontId="65" fillId="0" borderId="12" xfId="0" applyFont="1" applyBorder="1" applyNumberFormat="1">
      <alignment horizontal="center" vertical="center" wrapText="1"/>
    </xf>
    <xf numFmtId="0" fontId="19" fillId="0" borderId="0" xfId="0" applyFont="1" applyNumberFormat="1">
      <alignment horizontal="center" vertical="center" wrapText="1"/>
    </xf>
    <xf numFmtId="0" fontId="72"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72" xfId="0" applyFont="1" applyBorder="1" applyNumberFormat="1">
      <alignment horizontal="center" vertical="center" wrapText="1"/>
    </xf>
    <xf numFmtId="0" fontId="19" fillId="0" borderId="73" xfId="0" applyFont="1" applyBorder="1" applyNumberFormat="1">
      <alignment horizontal="center" vertical="center" wrapText="1"/>
    </xf>
    <xf numFmtId="0" fontId="36" fillId="0" borderId="22" xfId="0" applyFont="1" applyBorder="1" applyNumberFormat="1">
      <alignment vertical="center"/>
    </xf>
    <xf numFmtId="0" fontId="0" fillId="0" borderId="0" xfId="0" applyFont="1" applyNumberFormat="1">
      <alignment vertical="center"/>
    </xf>
    <xf numFmtId="49" fontId="24" fillId="0" borderId="0" xfId="0" applyFont="1" applyNumberFormat="1">
      <alignment horizontal="center" vertical="center" wrapText="1"/>
    </xf>
    <xf numFmtId="49" fontId="24" fillId="0" borderId="12" xfId="0" applyFont="1" applyBorder="1" applyNumberFormat="1">
      <alignment horizontal="center" vertical="center" wrapText="1"/>
    </xf>
    <xf numFmtId="49" fontId="24" fillId="0" borderId="70" xfId="0" applyFont="1" applyBorder="1" applyNumberFormat="1">
      <alignment horizontal="center" vertical="center" wrapText="1"/>
    </xf>
    <xf numFmtId="49" fontId="24" fillId="0" borderId="71" xfId="0" applyFont="1" applyBorder="1" applyNumberFormat="1">
      <alignment horizontal="center" vertical="center" wrapText="1"/>
    </xf>
    <xf numFmtId="49" fontId="24" fillId="0" borderId="14" xfId="0" applyFont="1" applyBorder="1" applyNumberFormat="1">
      <alignment horizontal="center" vertical="center" wrapText="1"/>
    </xf>
    <xf numFmtId="49" fontId="24" fillId="0" borderId="13" xfId="0" applyFont="1" applyBorder="1" applyNumberFormat="1">
      <alignment horizontal="center" vertical="center" wrapText="1"/>
    </xf>
    <xf numFmtId="0" fontId="36" fillId="0" borderId="22" xfId="0" applyFont="1" applyBorder="1" applyNumberFormat="1">
      <alignment vertical="center"/>
    </xf>
    <xf numFmtId="0" fontId="37" fillId="0" borderId="0" xfId="0" applyFont="1" applyNumberFormat="1">
      <alignment vertical="center"/>
    </xf>
    <xf numFmtId="0" fontId="37" fillId="0" borderId="0" xfId="0" applyFont="1" applyNumberFormat="1">
      <alignment vertical="center"/>
    </xf>
    <xf numFmtId="0" fontId="19" fillId="0" borderId="0" xfId="0" applyFont="1" applyNumberFormat="1">
      <alignment vertical="center"/>
    </xf>
    <xf numFmtId="0" fontId="36" fillId="0" borderId="0" xfId="0" applyFont="1" applyNumberFormat="1">
      <alignment vertical="center"/>
    </xf>
    <xf numFmtId="0" fontId="37" fillId="0" borderId="0" xfId="0" applyFont="1" applyNumberFormat="1">
      <alignment horizontal="center" vertical="center"/>
    </xf>
    <xf numFmtId="0" fontId="19" fillId="0" borderId="0" xfId="0" applyFont="1" applyNumberFormat="1">
      <alignment horizontal="center" vertical="center" wrapText="1"/>
    </xf>
    <xf numFmtId="0" fontId="19" fillId="36" borderId="14"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41" xfId="0" applyFont="1" applyFill="1" applyBorder="1" applyNumberFormat="1">
      <alignment horizontal="center" vertical="center" wrapText="1"/>
    </xf>
    <xf numFmtId="49" fontId="0" fillId="36" borderId="15" xfId="0" applyFont="1" applyFill="1" applyBorder="1" applyNumberFormat="1">
      <alignment horizontal="left" vertical="center"/>
    </xf>
    <xf numFmtId="0" fontId="0" fillId="36" borderId="13" xfId="0" applyFont="1" applyFill="1" applyBorder="1" applyNumberFormat="1">
      <alignment vertical="center"/>
    </xf>
    <xf numFmtId="0" fontId="0" fillId="0" borderId="0" xfId="0" applyFont="1" applyNumberFormat="1">
      <alignment vertical="center"/>
    </xf>
    <xf numFmtId="49" fontId="0" fillId="0" borderId="0" xfId="0" applyFont="1" applyNumberFormat="1">
      <alignment vertical="top"/>
    </xf>
    <xf numFmtId="0" fontId="25" fillId="0" borderId="0" xfId="0" applyFont="1" applyNumberFormat="1">
      <alignment horizontal="center" vertical="center" wrapText="1"/>
    </xf>
    <xf numFmtId="49" fontId="19" fillId="0" borderId="12" xfId="0" applyFont="1" applyBorder="1" applyNumberFormat="1">
      <alignment horizontal="center" vertical="center" wrapText="1"/>
    </xf>
    <xf numFmtId="0" fontId="19" fillId="39" borderId="17" xfId="0" applyFont="1" applyFill="1" applyBorder="1" applyNumberFormat="1">
      <alignment horizontal="left" vertical="center" wrapText="1" indent="2"/>
    </xf>
    <xf numFmtId="49" fontId="19" fillId="39" borderId="23" xfId="0" applyFont="1" applyFill="1" applyBorder="1" applyNumberFormat="1">
      <alignment horizontal="center" vertical="center" wrapText="1"/>
    </xf>
    <xf numFmtId="14" fontId="71" fillId="0" borderId="74" xfId="0" applyFont="1" applyBorder="1" applyNumberFormat="1">
      <alignment horizontal="center" vertical="center" wrapText="1"/>
    </xf>
    <xf numFmtId="0" fontId="19" fillId="0" borderId="74" xfId="0" applyFont="1" applyBorder="1" applyNumberFormat="1">
      <alignment horizontal="center" vertical="center" wrapText="1"/>
    </xf>
    <xf numFmtId="0" fontId="19" fillId="39" borderId="17" xfId="0" applyFont="1" applyFill="1" applyBorder="1" applyNumberFormat="1">
      <alignment horizontal="left" vertical="center" wrapText="1" indent="1"/>
      <protection locked="0"/>
    </xf>
    <xf numFmtId="49" fontId="19" fillId="39" borderId="12" xfId="0" applyFont="1" applyFill="1" applyBorder="1" applyNumberFormat="1">
      <alignment horizontal="center" vertical="center" wrapText="1"/>
    </xf>
    <xf numFmtId="49" fontId="19" fillId="0" borderId="17" xfId="0" applyFont="1" applyBorder="1" applyNumberFormat="1">
      <alignment horizontal="center" vertical="center" wrapText="1"/>
    </xf>
    <xf numFmtId="49" fontId="19" fillId="0" borderId="12" xfId="0" applyFont="1" applyBorder="1" applyNumberFormat="1">
      <alignment horizontal="center" vertical="center" wrapText="1"/>
    </xf>
    <xf numFmtId="49" fontId="65" fillId="0" borderId="12" xfId="0" applyFont="1" applyBorder="1" applyNumberFormat="1">
      <alignment horizontal="left" vertical="center" wrapText="1" indent="1"/>
    </xf>
    <xf numFmtId="0" fontId="36" fillId="0" borderId="22" xfId="0" applyFont="1" applyBorder="1" applyNumberFormat="1">
      <alignment vertical="center"/>
    </xf>
    <xf numFmtId="0" fontId="37" fillId="0" borderId="0" xfId="0" applyFont="1" applyNumberFormat="1">
      <alignment vertical="center"/>
    </xf>
    <xf numFmtId="0" fontId="19" fillId="0" borderId="0" xfId="0" applyFont="1" applyNumberFormat="1">
      <alignment vertical="center"/>
    </xf>
    <xf numFmtId="0" fontId="36" fillId="0" borderId="0" xfId="0" applyFont="1" applyNumberFormat="1">
      <alignment vertical="center"/>
    </xf>
    <xf numFmtId="0" fontId="19" fillId="39" borderId="36" xfId="0" applyFont="1" applyFill="1" applyBorder="1" applyNumberFormat="1">
      <alignment horizontal="left" vertical="center" wrapText="1" indent="2"/>
    </xf>
    <xf numFmtId="0" fontId="19" fillId="39" borderId="23" xfId="0" applyFont="1" applyFill="1" applyBorder="1" applyNumberFormat="1">
      <alignment horizontal="left" vertical="center" wrapText="1" indent="1"/>
      <protection locked="0"/>
    </xf>
    <xf numFmtId="49" fontId="29" fillId="36" borderId="13" xfId="0" applyFont="1" applyFill="1" applyBorder="1" applyNumberFormat="1">
      <alignment horizontal="left" vertical="center" indent="1"/>
    </xf>
    <xf numFmtId="0" fontId="19" fillId="39" borderId="23" xfId="0" applyFont="1" applyFill="1" applyBorder="1" applyNumberFormat="1">
      <alignment horizontal="left" vertical="center" wrapText="1" indent="2"/>
    </xf>
    <xf numFmtId="49" fontId="39" fillId="36" borderId="42" xfId="0" applyFont="1" applyFill="1" applyBorder="1" applyNumberFormat="1">
      <alignment horizontal="right" vertical="center" wrapText="1"/>
    </xf>
    <xf numFmtId="49" fontId="39" fillId="36" borderId="43"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49" fontId="39" fillId="36" borderId="13" xfId="0" applyFont="1" applyFill="1" applyBorder="1" applyNumberFormat="1">
      <alignment horizontal="right" vertical="center" wrapText="1"/>
    </xf>
    <xf numFmtId="0" fontId="65" fillId="41" borderId="0" xfId="0" applyFont="1" applyFill="1" applyNumberFormat="1">
      <alignment vertical="top"/>
    </xf>
    <xf numFmtId="49" fontId="19" fillId="0" borderId="0" xfId="0" applyFont="1" applyNumberFormat="1">
      <alignment vertical="center" wrapText="1"/>
    </xf>
    <xf numFmtId="49" fontId="19" fillId="0" borderId="0" xfId="0" applyFont="1" applyNumberFormat="1">
      <alignment horizontal="center" vertical="center" wrapText="1"/>
    </xf>
    <xf numFmtId="49" fontId="29" fillId="36" borderId="15" xfId="0" applyFont="1" applyFill="1" applyBorder="1" applyNumberFormat="1">
      <alignment horizontal="left" vertical="center" indent="2"/>
    </xf>
    <xf numFmtId="0" fontId="0" fillId="0" borderId="0" xfId="0" applyFont="1" applyNumberFormat="1">
      <alignment vertical="center"/>
    </xf>
    <xf numFmtId="0" fontId="19" fillId="0" borderId="0" xfId="0" applyFont="1" applyNumberFormat="1">
      <alignment vertical="center"/>
    </xf>
    <xf numFmtId="0" fontId="37" fillId="0" borderId="0" xfId="0" applyFont="1" applyNumberFormat="1">
      <alignment vertical="center"/>
    </xf>
    <xf numFmtId="0" fontId="30" fillId="0" borderId="0" xfId="0" applyFont="1" applyNumberFormat="1">
      <alignment vertical="center"/>
    </xf>
    <xf numFmtId="0" fontId="38" fillId="0" borderId="0" xfId="0" applyFont="1" applyNumberFormat="1">
      <alignment vertical="center"/>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54" fillId="0" borderId="0" xfId="0" applyFont="1" applyNumberFormat="1">
      <alignment vertical="center" wrapText="1"/>
    </xf>
    <xf numFmtId="0" fontId="35" fillId="0" borderId="0" xfId="0" applyFont="1" applyNumberFormat="1">
      <alignment vertical="center" wrapText="1"/>
    </xf>
    <xf numFmtId="0" fontId="35" fillId="0" borderId="0" xfId="0" applyFont="1" applyNumberFormat="1">
      <alignment vertical="center" wrapText="1"/>
    </xf>
    <xf numFmtId="0" fontId="98" fillId="0" borderId="0" xfId="0" applyFont="1" applyNumberFormat="1">
      <alignment vertical="center"/>
    </xf>
    <xf numFmtId="0" fontId="19" fillId="0" borderId="27" xfId="0" applyFont="1" applyBorder="1" applyNumberFormat="1">
      <alignment horizontal="left" vertical="center" indent="1"/>
    </xf>
    <xf numFmtId="0" fontId="57" fillId="0" borderId="0" xfId="0" applyFont="1" applyNumberFormat="1">
      <alignment vertical="center"/>
    </xf>
    <xf numFmtId="0" fontId="37" fillId="0" borderId="0" xfId="0" applyFont="1" applyNumberFormat="1">
      <alignment vertical="center"/>
    </xf>
    <xf numFmtId="0" fontId="63" fillId="0" borderId="24" xfId="0" applyFont="1" applyBorder="1" applyNumberFormat="1">
      <alignment horizontal="left" vertical="center" wrapText="1" indent="1"/>
    </xf>
    <xf numFmtId="0" fontId="63" fillId="0" borderId="36" xfId="0" applyFont="1" applyBorder="1" applyNumberFormat="1">
      <alignment horizontal="left" vertical="center" wrapText="1" indent="1"/>
    </xf>
    <xf numFmtId="0" fontId="63" fillId="0" borderId="22" xfId="0" applyFont="1" applyBorder="1" applyNumberFormat="1">
      <alignment horizontal="left" vertical="center" wrapText="1" indent="1"/>
    </xf>
    <xf numFmtId="0" fontId="57" fillId="0" borderId="0" xfId="0" applyFont="1" applyNumberFormat="1">
      <alignment vertical="center"/>
    </xf>
    <xf numFmtId="0" fontId="19" fillId="0" borderId="0" xfId="0" applyFont="1" applyNumberFormat="1">
      <alignment vertical="center"/>
    </xf>
    <xf numFmtId="0" fontId="42" fillId="0" borderId="0" xfId="0" applyFont="1" applyNumberFormat="1">
      <alignment vertical="center"/>
    </xf>
    <xf numFmtId="0" fontId="30" fillId="0" borderId="0" xfId="0" applyFont="1" applyNumberFormat="1">
      <alignment vertical="center"/>
    </xf>
    <xf numFmtId="0" fontId="0"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xf>
    <xf numFmtId="0" fontId="37" fillId="0" borderId="0" xfId="0" applyFont="1" applyNumberFormat="1">
      <alignment vertical="center"/>
    </xf>
    <xf numFmtId="49" fontId="37" fillId="34" borderId="0" xfId="0" applyFont="1" applyFill="1" applyNumberFormat="1">
      <alignment horizontal="center" vertical="center" wrapText="1"/>
    </xf>
    <xf numFmtId="49" fontId="37" fillId="34" borderId="27" xfId="0" applyFont="1" applyFill="1" applyBorder="1" applyNumberFormat="1">
      <alignment horizontal="center" vertical="center" wrapText="1"/>
    </xf>
    <xf numFmtId="0" fontId="25" fillId="0" borderId="0" xfId="0" applyFont="1" applyNumberFormat="1">
      <alignment horizontal="center" vertical="center" wrapText="1"/>
    </xf>
    <xf numFmtId="0" fontId="37" fillId="0" borderId="12" xfId="0" applyFont="1" applyBorder="1" applyNumberFormat="1">
      <alignment horizontal="center" vertical="center"/>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19" fillId="0" borderId="12" xfId="0" applyFont="1" applyBorder="1" applyNumberFormat="1">
      <alignment horizontal="left" vertical="top" wrapText="1"/>
    </xf>
    <xf numFmtId="0" fontId="19" fillId="39" borderId="17"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19" fillId="0" borderId="19" xfId="0" applyFont="1" applyBorder="1" applyNumberFormat="1">
      <alignment horizontal="left" vertical="center" wrapText="1"/>
    </xf>
    <xf numFmtId="49" fontId="19"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19" fillId="0" borderId="20" xfId="0" applyFont="1" applyBorder="1" applyNumberFormat="1">
      <alignment horizontal="left" vertical="center" wrapText="1"/>
    </xf>
    <xf numFmtId="0" fontId="19" fillId="0" borderId="0" xfId="0" applyFont="1" applyNumberFormat="1">
      <alignment horizontal="left" vertical="center" indent="1"/>
    </xf>
    <xf numFmtId="0" fontId="0" fillId="0" borderId="0" xfId="0" applyFont="1" applyNumberFormat="1">
      <alignment vertical="center"/>
    </xf>
    <xf numFmtId="0" fontId="19" fillId="39"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19" fillId="0" borderId="0" xfId="0" applyFont="1" applyNumberFormat="1">
      <alignment horizontal="left" vertical="center" wrapText="1"/>
    </xf>
    <xf numFmtId="49" fontId="19"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29" fillId="0" borderId="0" xfId="0" applyFont="1" applyNumberFormat="1">
      <alignment horizontal="left" vertical="center"/>
    </xf>
    <xf numFmtId="0" fontId="29" fillId="0" borderId="24"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horizontal="left" vertical="top"/>
    </xf>
    <xf numFmtId="49" fontId="19" fillId="0" borderId="0" xfId="0" applyFont="1" applyNumberFormat="1">
      <alignment horizontal="center"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19" fillId="39" borderId="23" xfId="0" applyFont="1" applyFill="1" applyBorder="1" applyNumberFormat="1">
      <alignment horizontal="center" vertical="top" wrapText="1"/>
    </xf>
    <xf numFmtId="0" fontId="29" fillId="0" borderId="30" xfId="0" applyFont="1" applyBorder="1" applyNumberFormat="1">
      <alignment horizontal="left" vertical="center"/>
    </xf>
    <xf numFmtId="0" fontId="29" fillId="0" borderId="27" xfId="0" applyFont="1" applyBorder="1" applyNumberFormat="1">
      <alignment horizontal="left" vertical="center"/>
    </xf>
    <xf numFmtId="0" fontId="0" fillId="0" borderId="27" xfId="0" applyFont="1" applyBorder="1" applyNumberFormat="1">
      <alignment vertical="center"/>
    </xf>
    <xf numFmtId="0" fontId="29" fillId="0" borderId="29" xfId="0" applyFont="1" applyBorder="1" applyNumberFormat="1">
      <alignment horizontal="left" vertical="center"/>
    </xf>
    <xf numFmtId="0" fontId="0" fillId="0" borderId="0" xfId="0" applyFont="1" applyNumberFormat="1">
      <alignment vertical="center"/>
    </xf>
    <xf numFmtId="0" fontId="19" fillId="39" borderId="12" xfId="0" applyFont="1" applyFill="1" applyBorder="1" applyNumberFormat="1">
      <alignment horizontal="left" vertical="top" wrapText="1"/>
    </xf>
    <xf numFmtId="0" fontId="0" fillId="0" borderId="12" xfId="0" applyFont="1" applyBorder="1" applyNumberFormat="1">
      <alignment horizontal="center" vertical="center"/>
    </xf>
    <xf numFmtId="49" fontId="19" fillId="35" borderId="12" xfId="0" applyFont="1" applyFill="1" applyBorder="1" applyNumberFormat="1">
      <alignment horizontal="left" vertical="center" wrapText="1"/>
      <protection locked="0"/>
    </xf>
    <xf numFmtId="49" fontId="19" fillId="39" borderId="17"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0" fillId="39" borderId="12" xfId="0" applyFont="1" applyFill="1" applyBorder="1" applyNumberFormat="1">
      <alignment horizontal="left" vertical="center" wrapText="1"/>
      <protection locked="0"/>
    </xf>
    <xf numFmtId="49" fontId="0" fillId="34" borderId="12" xfId="0" applyFont="1" applyFill="1" applyBorder="1" applyNumberFormat="1">
      <alignment horizontal="left" vertical="center" wrapText="1"/>
    </xf>
    <xf numFmtId="49" fontId="19" fillId="39" borderId="12" xfId="0" applyFont="1" applyFill="1" applyBorder="1" applyNumberFormat="1">
      <alignment horizontal="center" vertical="center" wrapText="1"/>
    </xf>
    <xf numFmtId="49" fontId="19" fillId="0" borderId="0" xfId="0" applyFont="1" applyNumberFormat="1">
      <alignment horizontal="left" vertical="center" indent="1"/>
    </xf>
    <xf numFmtId="49" fontId="19" fillId="39" borderId="36" xfId="0" applyFont="1" applyFill="1" applyBorder="1" applyNumberFormat="1">
      <alignment horizontal="center" vertical="center" wrapText="1"/>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49" fontId="0" fillId="39" borderId="12" xfId="0" applyFont="1" applyFill="1" applyBorder="1" applyNumberFormat="1">
      <alignment horizontal="left" vertical="top"/>
    </xf>
    <xf numFmtId="49" fontId="0" fillId="0" borderId="12" xfId="0" applyFont="1" applyBorder="1" applyNumberFormat="1">
      <alignment vertical="top"/>
    </xf>
    <xf numFmtId="49" fontId="0" fillId="35" borderId="12" xfId="0" applyFont="1" applyFill="1" applyBorder="1" applyNumberFormat="1">
      <alignment horizontal="left" vertical="top"/>
      <protection locked="0"/>
    </xf>
    <xf numFmtId="49" fontId="0" fillId="39" borderId="12" xfId="0" applyFont="1" applyFill="1" applyBorder="1" applyNumberFormat="1">
      <alignment horizontal="left" vertical="center" wrapText="1"/>
      <protection locked="0"/>
    </xf>
    <xf numFmtId="49" fontId="19" fillId="39" borderId="23" xfId="0" applyFont="1" applyFill="1" applyBorder="1" applyNumberFormat="1">
      <alignment horizontal="center" vertical="center" wrapText="1"/>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0" fillId="0" borderId="0" xfId="0" applyFont="1" applyNumberFormat="1">
      <alignment vertical="center"/>
    </xf>
    <xf numFmtId="0" fontId="0" fillId="0" borderId="0" xfId="0" applyFont="1" applyNumberFormat="1">
      <alignment vertical="center"/>
    </xf>
    <xf numFmtId="0" fontId="0" fillId="0" borderId="17" xfId="0" applyFont="1" applyBorder="1" applyNumberFormat="1">
      <alignment horizontal="center" vertical="top"/>
    </xf>
    <xf numFmtId="0" fontId="19" fillId="0" borderId="17" xfId="0" applyFont="1" applyBorder="1" applyNumberFormat="1">
      <alignment horizontal="left" vertical="top" wrapText="1"/>
    </xf>
    <xf numFmtId="0" fontId="0" fillId="0" borderId="36" xfId="0" applyFont="1" applyBorder="1" applyNumberFormat="1">
      <alignment horizontal="center" vertical="top"/>
    </xf>
    <xf numFmtId="0" fontId="19" fillId="0" borderId="36" xfId="0" applyFont="1" applyBorder="1" applyNumberFormat="1">
      <alignment horizontal="left" vertical="top" wrapText="1"/>
    </xf>
    <xf numFmtId="0" fontId="0" fillId="0" borderId="23" xfId="0" applyFont="1" applyBorder="1" applyNumberFormat="1">
      <alignment horizontal="center" vertical="top"/>
    </xf>
    <xf numFmtId="0" fontId="19" fillId="0" borderId="23" xfId="0" applyFont="1" applyBorder="1" applyNumberFormat="1">
      <alignment horizontal="left" vertical="top"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horizontal="center" vertical="center" wrapText="1"/>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0" fillId="0" borderId="0" xfId="0" applyFont="1" applyNumberFormat="1">
      <alignment vertical="center"/>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horizontal="center" vertical="center" wrapText="1"/>
    </xf>
    <xf numFmtId="0" fontId="0" fillId="0" borderId="0" xfId="0" applyFont="1" applyNumberFormat="1">
      <alignment vertical="center"/>
    </xf>
    <xf numFmtId="0" fontId="37" fillId="0" borderId="0" xfId="0" applyFont="1" applyNumberFormat="1">
      <alignment vertical="center"/>
    </xf>
    <xf numFmtId="0" fontId="0" fillId="0" borderId="0" xfId="0" applyFont="1" applyNumberFormat="1">
      <alignment vertical="center"/>
    </xf>
    <xf numFmtId="0" fontId="0" fillId="0" borderId="0" xfId="0" applyFont="1" applyNumberFormat="1">
      <alignment vertical="center"/>
    </xf>
    <xf numFmtId="49" fontId="37" fillId="0" borderId="0" xfId="0" applyFont="1" applyNumberFormat="1">
      <alignment horizontal="center" vertical="center"/>
    </xf>
    <xf numFmtId="49" fontId="36" fillId="0" borderId="0" xfId="0" applyFont="1" applyNumberFormat="1">
      <alignment horizontal="center" vertical="center"/>
    </xf>
    <xf numFmtId="49" fontId="57" fillId="0" borderId="0" xfId="0" applyFont="1" applyNumberFormat="1">
      <alignment vertical="top"/>
    </xf>
    <xf numFmtId="49" fontId="0" fillId="0" borderId="0" xfId="0" applyFont="1" applyNumberFormat="1">
      <alignment vertical="top"/>
    </xf>
    <xf numFmtId="49" fontId="20" fillId="0" borderId="0" xfId="0" applyFont="1" applyNumberFormat="1">
      <alignment vertical="top"/>
    </xf>
    <xf numFmtId="0" fontId="20" fillId="0" borderId="0" xfId="0" applyFont="1" applyNumberFormat="1">
      <alignment vertical="center" wrapText="1"/>
    </xf>
    <xf numFmtId="0" fontId="19" fillId="0" borderId="0" xfId="0" applyFont="1" applyNumberFormat="1">
      <alignment vertical="center" wrapText="1"/>
    </xf>
    <xf numFmtId="0" fontId="25" fillId="0" borderId="0" xfId="0" applyFont="1" applyNumberFormat="1">
      <alignment horizontal="center" vertical="center" wrapText="1"/>
    </xf>
    <xf numFmtId="0" fontId="19" fillId="0" borderId="19" xfId="0" applyFont="1" applyBorder="1" applyNumberFormat="1">
      <alignment horizontal="left" vertical="center" wrapText="1" indent="1"/>
    </xf>
    <xf numFmtId="0" fontId="35" fillId="0" borderId="0" xfId="0" applyFont="1" applyNumberFormat="1">
      <alignment horizontal="left" vertical="center" wrapText="1" indent="1"/>
    </xf>
    <xf numFmtId="0" fontId="31" fillId="0" borderId="0" xfId="0" applyFont="1" applyNumberFormat="1">
      <alignment vertical="center"/>
    </xf>
    <xf numFmtId="0" fontId="103" fillId="0" borderId="0" xfId="0" applyFont="1" applyNumberFormat="1">
      <alignment vertical="center" wrapText="1"/>
    </xf>
    <xf numFmtId="0" fontId="104" fillId="0" borderId="0" xfId="0" applyFont="1" applyNumberFormat="1">
      <alignment vertical="center" wrapText="1"/>
    </xf>
    <xf numFmtId="0" fontId="31"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vertical="center" wrapText="1"/>
    </xf>
    <xf numFmtId="0" fontId="19" fillId="0" borderId="27" xfId="0" applyFont="1" applyBorder="1" applyNumberFormat="1">
      <alignment horizontal="left" vertical="center" wrapText="1" indent="1"/>
    </xf>
    <xf numFmtId="0" fontId="19" fillId="0" borderId="37"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24"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30" xfId="0" applyFont="1" applyBorder="1" applyNumberFormat="1">
      <alignment horizontal="center" vertical="center" wrapText="1"/>
    </xf>
    <xf numFmtId="0" fontId="19" fillId="0" borderId="29"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49" fontId="19" fillId="0" borderId="0" xfId="0" applyFont="1" applyNumberFormat="1">
      <alignment vertical="top"/>
    </xf>
    <xf numFmtId="49" fontId="19" fillId="0" borderId="12" xfId="0" applyFont="1" applyBorder="1" applyNumberFormat="1">
      <alignment horizontal="center" vertical="center"/>
    </xf>
    <xf numFmtId="0" fontId="19" fillId="0" borderId="12" xfId="0" applyFont="1" applyBorder="1" applyNumberFormat="1">
      <alignment horizontal="left" vertical="center" wrapText="1"/>
    </xf>
    <xf numFmtId="49" fontId="19" fillId="39" borderId="17" xfId="0" applyFont="1" applyFill="1" applyBorder="1" applyNumberFormat="1">
      <alignment horizontal="center" vertical="center" wrapText="1"/>
    </xf>
    <xf numFmtId="49" fontId="19" fillId="0" borderId="37" xfId="0" applyFont="1" applyBorder="1" applyNumberFormat="1">
      <alignment vertical="center" wrapText="1"/>
    </xf>
    <xf numFmtId="0" fontId="19" fillId="0" borderId="19" xfId="0" applyFont="1" applyBorder="1" applyNumberFormat="1">
      <alignment horizontal="center" vertical="center"/>
    </xf>
    <xf numFmtId="49" fontId="19" fillId="0" borderId="19" xfId="0" applyFont="1" applyBorder="1" applyNumberFormat="1">
      <alignment horizontal="left" vertical="center" wrapText="1"/>
    </xf>
    <xf numFmtId="49" fontId="19" fillId="0" borderId="19" xfId="0" applyFont="1" applyBorder="1" applyNumberFormat="1">
      <alignmen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19" xfId="0" applyFont="1" applyBorder="1" applyNumberFormat="1">
      <alignment horizontal="center" vertical="center" wrapText="1"/>
    </xf>
    <xf numFmtId="0" fontId="19"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19" fillId="0" borderId="19" xfId="0" applyFont="1" applyBorder="1" applyNumberFormat="1">
      <alignment vertical="center" wrapText="1"/>
    </xf>
    <xf numFmtId="49" fontId="19" fillId="39" borderId="36" xfId="0" applyFont="1" applyFill="1" applyBorder="1" applyNumberFormat="1">
      <alignment horizontal="center" vertical="center" wrapText="1"/>
    </xf>
    <xf numFmtId="49" fontId="19" fillId="0" borderId="22" xfId="0" applyFont="1" applyBorder="1" applyNumberFormat="1">
      <alignment vertical="center" wrapText="1"/>
    </xf>
    <xf numFmtId="0" fontId="19" fillId="0" borderId="0" xfId="0" applyFont="1" applyNumberFormat="1">
      <alignment horizontal="center" vertical="center"/>
    </xf>
    <xf numFmtId="0" fontId="19" fillId="0" borderId="0" xfId="0" applyFont="1" applyNumberFormat="1">
      <alignment horizontal="left" vertical="center" wrapText="1"/>
    </xf>
    <xf numFmtId="49" fontId="19" fillId="0" borderId="0" xfId="0" applyFont="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49" fontId="19" fillId="0" borderId="0" xfId="0" applyFont="1" applyNumberFormat="1">
      <alignment horizontal="center" vertical="center" wrapText="1"/>
    </xf>
    <xf numFmtId="0" fontId="19" fillId="0" borderId="0" xfId="0" applyFont="1" applyNumberFormat="1">
      <alignment horizontal="left" vertical="center" wrapText="1"/>
    </xf>
    <xf numFmtId="0" fontId="29" fillId="0" borderId="0" xfId="0" applyFont="1" applyNumberFormat="1">
      <alignment horizontal="left" vertical="center"/>
    </xf>
    <xf numFmtId="0" fontId="29" fillId="0" borderId="0" xfId="0" applyFont="1" applyNumberFormat="1">
      <alignment horizontal="left" vertical="center"/>
    </xf>
    <xf numFmtId="0" fontId="29" fillId="0" borderId="24" xfId="0" applyFont="1" applyBorder="1" applyNumberFormat="1">
      <alignment horizontal="left" vertical="center"/>
    </xf>
    <xf numFmtId="49" fontId="19" fillId="0" borderId="0" xfId="0" applyFont="1" applyNumberFormat="1">
      <alignment horizontal="center" vertical="center" wrapText="1"/>
    </xf>
    <xf numFmtId="49" fontId="25" fillId="0" borderId="0" xfId="0" applyFont="1" applyNumberFormat="1">
      <alignment horizontal="center" vertical="center" wrapText="1"/>
    </xf>
    <xf numFmtId="0" fontId="29" fillId="0" borderId="0" xfId="0" applyFont="1" applyNumberFormat="1">
      <alignment vertical="center"/>
    </xf>
    <xf numFmtId="0" fontId="29" fillId="0" borderId="22" xfId="0" applyFont="1" applyBorder="1" applyNumberFormat="1">
      <alignment horizontal="left" vertical="center"/>
    </xf>
    <xf numFmtId="49" fontId="19" fillId="0" borderId="17" xfId="0" applyFont="1" applyBorder="1" applyNumberFormat="1">
      <alignment horizontal="center" vertical="center"/>
    </xf>
    <xf numFmtId="0" fontId="19" fillId="0" borderId="17" xfId="0" applyFont="1" applyBorder="1" applyNumberFormat="1">
      <alignment horizontal="left" vertical="center" wrapText="1"/>
    </xf>
    <xf numFmtId="0" fontId="19" fillId="0" borderId="37" xfId="0" applyFont="1" applyBorder="1" applyNumberFormat="1">
      <alignment horizontal="left" vertical="center" wrapText="1"/>
    </xf>
    <xf numFmtId="49" fontId="57" fillId="0" borderId="30" xfId="0" applyFont="1" applyBorder="1" applyNumberFormat="1">
      <alignment vertical="top"/>
    </xf>
    <xf numFmtId="49" fontId="57" fillId="0" borderId="27" xfId="0" applyFont="1" applyBorder="1" applyNumberFormat="1">
      <alignment vertical="top"/>
    </xf>
    <xf numFmtId="0" fontId="29" fillId="0" borderId="27" xfId="0" applyFont="1" applyBorder="1" applyNumberFormat="1">
      <alignment horizontal="left" vertical="center"/>
    </xf>
    <xf numFmtId="0" fontId="29" fillId="0" borderId="29" xfId="0" applyFont="1" applyBorder="1" applyNumberFormat="1">
      <alignment horizontal="left" vertical="center"/>
    </xf>
    <xf numFmtId="0" fontId="19" fillId="0" borderId="0" xfId="0" applyFont="1" applyNumberFormat="1">
      <alignment horizontal="left" vertical="center" wrapText="1"/>
    </xf>
    <xf numFmtId="0" fontId="19" fillId="0" borderId="14" xfId="0" applyFont="1" applyBorder="1" applyNumberFormat="1">
      <alignment horizontal="left" vertical="center" wrapText="1"/>
    </xf>
    <xf numFmtId="0" fontId="19" fillId="34" borderId="0" xfId="0" applyFont="1" applyFill="1" applyNumberFormat="1"/>
    <xf numFmtId="0" fontId="51" fillId="34" borderId="0" xfId="0" applyFont="1" applyFill="1" applyNumberFormat="1"/>
    <xf numFmtId="0" fontId="37" fillId="34" borderId="0" xfId="0" applyFont="1" applyFill="1" applyNumberFormat="1"/>
    <xf numFmtId="0" fontId="51" fillId="34" borderId="0" xfId="0" applyFont="1" applyFill="1" applyNumberFormat="1">
      <alignment horizontal="center"/>
    </xf>
    <xf numFmtId="0" fontId="80" fillId="0" borderId="0" xfId="0" applyFont="1" applyNumberFormat="1">
      <alignment vertical="center"/>
    </xf>
    <xf numFmtId="0" fontId="79" fillId="0" borderId="0" xfId="0" applyFont="1" applyNumberFormat="1">
      <alignment vertical="center"/>
    </xf>
    <xf numFmtId="0" fontId="60" fillId="34" borderId="0" xfId="0" applyFont="1" applyFill="1" applyNumberFormat="1">
      <alignment horizontal="right" vertical="center"/>
    </xf>
    <xf numFmtId="0" fontId="19" fillId="34" borderId="0" xfId="0" applyFont="1" applyFill="1" applyNumberFormat="1">
      <alignment vertical="center" wrapText="1"/>
    </xf>
    <xf numFmtId="0" fontId="37" fillId="34" borderId="0" xfId="0" applyFont="1" applyFill="1" applyNumberFormat="1">
      <alignment vertical="center" wrapText="1"/>
    </xf>
    <xf numFmtId="0" fontId="19" fillId="34" borderId="0" xfId="0" applyFont="1" applyFill="1" applyNumberFormat="1">
      <alignment horizontal="center" vertical="center" wrapText="1"/>
    </xf>
    <xf numFmtId="0" fontId="83" fillId="34" borderId="0" xfId="0" applyFont="1" applyFill="1" applyNumberFormat="1">
      <alignment horizontal="left" vertical="center" wrapText="1"/>
    </xf>
    <xf numFmtId="49"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24" fillId="34" borderId="0" xfId="0" applyFont="1" applyFill="1" applyNumberFormat="1">
      <alignment horizontal="center" vertical="center"/>
    </xf>
    <xf numFmtId="49" fontId="37" fillId="0" borderId="12" xfId="0" applyFont="1" applyBorder="1" applyNumberFormat="1">
      <alignment horizontal="center" vertical="center"/>
    </xf>
    <xf numFmtId="0" fontId="37" fillId="0" borderId="12" xfId="0" applyFont="1" applyBorder="1" applyNumberFormat="1">
      <alignment vertical="center" wrapText="1"/>
    </xf>
    <xf numFmtId="0" fontId="37" fillId="0" borderId="12" xfId="0" applyFont="1" applyBorder="1" applyNumberFormat="1">
      <alignment horizontal="left" vertical="center" wrapText="1"/>
    </xf>
    <xf numFmtId="0" fontId="55" fillId="34" borderId="0" xfId="0" applyFont="1" applyFill="1" applyNumberFormat="1"/>
    <xf numFmtId="49" fontId="0" fillId="34" borderId="12" xfId="0" applyFont="1" applyFill="1" applyBorder="1" applyNumberFormat="1">
      <alignment horizontal="center" vertical="center"/>
    </xf>
    <xf numFmtId="0" fontId="0" fillId="34" borderId="12" xfId="0" applyFont="1" applyFill="1" applyBorder="1" applyNumberFormat="1">
      <alignment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vertical="center" wrapText="1"/>
    </xf>
    <xf numFmtId="0" fontId="0" fillId="34" borderId="12" xfId="0" applyFont="1" applyFill="1" applyBorder="1" applyNumberFormat="1">
      <alignment horizontal="left" vertical="center" wrapText="1" indent="1"/>
    </xf>
    <xf numFmtId="49" fontId="0" fillId="38" borderId="12" xfId="0" applyFont="1" applyFill="1" applyBorder="1" applyNumberFormat="1">
      <alignment horizontal="left" vertical="center" wrapText="1"/>
      <protection locked="0"/>
    </xf>
    <xf numFmtId="0" fontId="37" fillId="0" borderId="12" xfId="0" applyFont="1" applyBorder="1" applyNumberFormat="1">
      <alignment horizontal="left" vertical="center" wrapText="1" indent="1"/>
    </xf>
    <xf numFmtId="0" fontId="19" fillId="34" borderId="0" xfId="0" applyFont="1" applyFill="1" applyNumberFormat="1">
      <alignment horizontal="center" vertical="center" wrapText="1"/>
    </xf>
    <xf numFmtId="0" fontId="19" fillId="34" borderId="24" xfId="0" applyFont="1" applyFill="1" applyBorder="1" applyNumberFormat="1">
      <alignment horizontal="center" vertical="center" wrapText="1"/>
    </xf>
    <xf numFmtId="0" fontId="0" fillId="34" borderId="12" xfId="0" applyFont="1" applyFill="1" applyBorder="1" applyNumberFormat="1">
      <alignment horizontal="center" vertical="center"/>
    </xf>
    <xf numFmtId="0" fontId="80" fillId="0" borderId="0" xfId="0" applyFont="1" applyNumberFormat="1">
      <alignment vertical="center" wrapText="1"/>
    </xf>
    <xf numFmtId="0" fontId="0" fillId="34"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49" fontId="37" fillId="34" borderId="12" xfId="0" applyFont="1" applyFill="1" applyBorder="1" applyNumberFormat="1">
      <alignment horizontal="center" vertical="center"/>
    </xf>
    <xf numFmtId="0" fontId="37" fillId="34" borderId="12" xfId="0" applyFont="1" applyFill="1" applyBorder="1" applyNumberFormat="1">
      <alignment vertical="center" wrapText="1"/>
    </xf>
    <xf numFmtId="0" fontId="37" fillId="0" borderId="12" xfId="0" applyFont="1" applyBorder="1" applyNumberFormat="1">
      <alignment horizontal="center" vertical="center" wrapText="1"/>
    </xf>
    <xf numFmtId="0" fontId="37" fillId="34" borderId="12" xfId="0" applyFont="1" applyFill="1" applyBorder="1" applyNumberFormat="1">
      <alignment horizontal="left" vertical="center" wrapText="1" indent="1"/>
    </xf>
    <xf numFmtId="0" fontId="37" fillId="34" borderId="12" xfId="0" applyFont="1" applyFill="1" applyBorder="1" applyNumberFormat="1">
      <alignment horizontal="left" vertical="center" wrapText="1" indent="2"/>
    </xf>
    <xf numFmtId="49" fontId="37" fillId="0" borderId="12" xfId="0" applyFont="1" applyBorder="1" applyNumberFormat="1">
      <alignment horizontal="left" vertical="center" wrapText="1"/>
    </xf>
    <xf numFmtId="49" fontId="37" fillId="0" borderId="12" xfId="0" applyFont="1" applyBorder="1" applyNumberFormat="1">
      <alignment horizontal="left" vertical="center" wrapText="1"/>
    </xf>
    <xf numFmtId="0" fontId="0" fillId="34" borderId="12" xfId="0" applyFont="1" applyFill="1" applyBorder="1" applyNumberFormat="1">
      <alignment horizontal="left" vertical="center" wrapText="1"/>
    </xf>
    <xf numFmtId="49" fontId="0" fillId="35" borderId="12" xfId="0" applyFont="1" applyFill="1" applyBorder="1" applyNumberFormat="1">
      <alignment horizontal="left" vertical="center" wrapText="1"/>
      <protection locked="0"/>
    </xf>
    <xf numFmtId="0" fontId="0" fillId="34" borderId="17" xfId="0" applyFont="1" applyFill="1" applyBorder="1" applyNumberFormat="1">
      <alignment horizontal="left" vertical="center" wrapText="1"/>
    </xf>
    <xf numFmtId="0" fontId="19" fillId="34"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19" fillId="34" borderId="36" xfId="0" applyFont="1" applyFill="1" applyBorder="1" applyNumberFormat="1">
      <alignment horizontal="left" vertical="top" wrapText="1"/>
    </xf>
    <xf numFmtId="0" fontId="25" fillId="34" borderId="0" xfId="0" applyFont="1" applyFill="1" applyNumberFormat="1">
      <alignment horizontal="center" vertical="center" wrapText="1"/>
    </xf>
    <xf numFmtId="49" fontId="0" fillId="38"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0" fontId="19" fillId="36" borderId="14" xfId="0" applyFont="1" applyFill="1" applyBorder="1" applyNumberFormat="1">
      <alignment horizontal="center"/>
    </xf>
    <xf numFmtId="0" fontId="60" fillId="36" borderId="13" xfId="0" applyFont="1" applyFill="1" applyBorder="1" applyNumberFormat="1">
      <alignment horizontal="left" vertical="center"/>
    </xf>
    <xf numFmtId="0" fontId="19" fillId="34" borderId="23" xfId="0" applyFont="1" applyFill="1" applyBorder="1" applyNumberFormat="1">
      <alignment horizontal="left" vertical="top" wrapText="1"/>
    </xf>
    <xf numFmtId="0" fontId="41" fillId="34" borderId="0" xfId="0" applyFont="1" applyFill="1" applyNumberFormat="1"/>
    <xf numFmtId="49" fontId="19" fillId="38" borderId="12" xfId="0" applyFont="1" applyFill="1" applyBorder="1" applyNumberFormat="1" quotePrefix="1">
      <alignment horizontal="left" vertical="center" wrapText="1"/>
      <protection locked="0"/>
    </xf>
    <xf numFmtId="49" fontId="19" fillId="35" borderId="12" xfId="0" applyFont="1" applyFill="1" applyBorder="1" applyNumberFormat="1">
      <alignment horizontal="left" vertical="center" wrapText="1"/>
      <protection locked="0"/>
    </xf>
    <xf numFmtId="49" fontId="19" fillId="39" borderId="12" xfId="0" applyFont="1" applyFill="1" applyBorder="1" applyNumberFormat="1">
      <alignment horizontal="left" vertical="center" wrapText="1"/>
    </xf>
    <xf numFmtId="49" fontId="19" fillId="34" borderId="0" xfId="0" applyFont="1" applyFill="1" applyNumberFormat="1">
      <alignment horizontal="center" vertical="center" wrapText="1"/>
    </xf>
    <xf numFmtId="0" fontId="19" fillId="34" borderId="24" xfId="0" applyFont="1" applyFill="1" applyBorder="1" applyNumberFormat="1">
      <alignment vertical="center" wrapText="1"/>
    </xf>
    <xf numFmtId="49" fontId="19" fillId="39" borderId="12" xfId="0" applyFont="1" applyFill="1" applyBorder="1" applyNumberFormat="1">
      <alignment horizontal="left" vertical="center" wrapText="1"/>
    </xf>
    <xf numFmtId="0" fontId="0" fillId="34" borderId="14" xfId="0" applyFont="1" applyFill="1" applyBorder="1" applyNumberFormat="1">
      <alignment horizontal="left" vertical="center" wrapText="1" indent="1"/>
    </xf>
    <xf numFmtId="49" fontId="19" fillId="39" borderId="14" xfId="0" applyFont="1" applyFill="1" applyBorder="1" applyNumberFormat="1">
      <alignment horizontal="left" vertical="center" wrapText="1"/>
    </xf>
    <xf numFmtId="0" fontId="0" fillId="34" borderId="12" xfId="0" applyFont="1" applyFill="1" applyBorder="1" applyNumberFormat="1">
      <alignment vertical="top" wrapText="1"/>
    </xf>
    <xf numFmtId="0" fontId="60" fillId="36" borderId="15" xfId="0" applyFont="1" applyFill="1" applyBorder="1" applyNumberFormat="1">
      <alignment horizontal="left" vertical="center"/>
    </xf>
    <xf numFmtId="49" fontId="19" fillId="34" borderId="0" xfId="0" applyFont="1" applyFill="1" applyNumberFormat="1">
      <alignment horizontal="center" vertical="center" wrapText="1"/>
    </xf>
    <xf numFmtId="0" fontId="0" fillId="34" borderId="14" xfId="0" applyFont="1" applyFill="1" applyBorder="1" applyNumberFormat="1">
      <alignment horizontal="left" vertical="center" wrapText="1"/>
    </xf>
    <xf numFmtId="0" fontId="0" fillId="34" borderId="23" xfId="0" applyFont="1" applyFill="1" applyBorder="1" applyNumberFormat="1">
      <alignment vertical="center" wrapText="1"/>
    </xf>
    <xf numFmtId="0" fontId="66" fillId="34" borderId="0" xfId="0" applyFont="1" applyFill="1" applyNumberFormat="1"/>
    <xf numFmtId="0" fontId="19" fillId="0" borderId="0" xfId="0" applyFont="1" applyNumberFormat="1">
      <alignment vertical="top" wrapText="1"/>
    </xf>
    <xf numFmtId="0" fontId="37" fillId="0" borderId="0" xfId="0" applyFont="1" applyNumberFormat="1">
      <alignment vertical="center" wrapText="1"/>
    </xf>
    <xf numFmtId="0" fontId="34" fillId="0" borderId="0" xfId="0" applyFont="1" applyNumberFormat="1">
      <alignment horizontal="right" vertical="top" wrapText="1"/>
    </xf>
    <xf numFmtId="0" fontId="34" fillId="0" borderId="0" xfId="0" applyFont="1" applyNumberFormat="1">
      <alignment horizontal="left" vertical="top" wrapText="1" indent="1"/>
    </xf>
    <xf numFmtId="0" fontId="34" fillId="0" borderId="0" xfId="0" applyFont="1" applyNumberFormat="1">
      <alignment vertical="center" wrapText="1"/>
    </xf>
    <xf numFmtId="0" fontId="65" fillId="34" borderId="0" xfId="0" applyFont="1" applyFill="1" applyNumberFormat="1">
      <alignment horizontal="center"/>
    </xf>
    <xf numFmtId="0" fontId="65" fillId="34" borderId="0" xfId="0" applyFont="1" applyFill="1" applyNumberFormat="1"/>
    <xf numFmtId="0" fontId="67" fillId="34" borderId="0" xfId="0" applyFont="1" applyFill="1" applyNumberFormat="1">
      <alignment horizontal="right" vertical="center"/>
    </xf>
    <xf numFmtId="0" fontId="68" fillId="34" borderId="0" xfId="0" applyFont="1" applyFill="1" applyNumberFormat="1">
      <alignment vertical="center"/>
    </xf>
    <xf numFmtId="0" fontId="67" fillId="34" borderId="0" xfId="0" applyFont="1" applyFill="1" applyNumberFormat="1">
      <alignment horizontal="right" vertical="top"/>
    </xf>
    <xf numFmtId="0" fontId="68" fillId="34" borderId="0" xfId="0" applyFont="1" applyFill="1" applyNumberFormat="1">
      <alignment vertical="center" wrapText="1"/>
    </xf>
    <xf numFmtId="0" fontId="0" fillId="34" borderId="0" xfId="0" applyFont="1" applyFill="1" applyNumberFormat="1"/>
    <xf numFmtId="0" fontId="0" fillId="34" borderId="0" xfId="0" applyFont="1" applyFill="1" applyNumberFormat="1">
      <alignment horizontal="center"/>
    </xf>
    <xf numFmtId="0" fontId="36" fillId="0" borderId="0" xfId="0" applyFont="1" applyNumberFormat="1">
      <alignment horizontal="center" vertical="center" wrapText="1"/>
    </xf>
    <xf numFmtId="0" fontId="78" fillId="0" borderId="0" xfId="0" applyFont="1" applyNumberFormat="1">
      <alignment vertical="center" wrapText="1"/>
    </xf>
    <xf numFmtId="0" fontId="78" fillId="34" borderId="0" xfId="0" applyFont="1" applyFill="1" applyNumberFormat="1">
      <alignment horizontal="center" vertical="center" wrapText="1"/>
    </xf>
    <xf numFmtId="0" fontId="78" fillId="34" borderId="0" xfId="0" applyFont="1" applyFill="1" applyNumberFormat="1">
      <alignment horizontal="right" vertical="center" wrapText="1"/>
    </xf>
    <xf numFmtId="0" fontId="25" fillId="34" borderId="0" xfId="0" applyFont="1" applyFill="1" applyNumberFormat="1">
      <alignment horizontal="center" vertical="center" wrapText="1"/>
    </xf>
    <xf numFmtId="0" fontId="35" fillId="0" borderId="0" xfId="0" applyFont="1" applyNumberFormat="1">
      <alignment horizontal="left" vertical="center" wrapText="1" indent="3"/>
    </xf>
    <xf numFmtId="0" fontId="54" fillId="0" borderId="0" xfId="0" applyFont="1" applyNumberFormat="1">
      <alignment horizontal="center" vertical="center" wrapText="1"/>
    </xf>
    <xf numFmtId="0" fontId="54" fillId="0" borderId="0" xfId="0" applyFont="1" applyNumberFormat="1">
      <alignment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50" fillId="0" borderId="0" xfId="0" applyFont="1" applyNumberFormat="1">
      <alignment vertical="center" wrapText="1"/>
    </xf>
    <xf numFmtId="0" fontId="48" fillId="0" borderId="0" xfId="0" applyFont="1" applyNumberFormat="1">
      <alignment vertical="center" wrapText="1"/>
    </xf>
    <xf numFmtId="0" fontId="69" fillId="34" borderId="0" xfId="0" applyFont="1" applyFill="1" applyNumberFormat="1">
      <alignment horizontal="center" vertical="center" wrapText="1"/>
    </xf>
    <xf numFmtId="0" fontId="50" fillId="0" borderId="0" xfId="0" applyFont="1" applyNumberFormat="1">
      <alignment horizontal="left" vertical="center" wrapText="1" indent="1"/>
    </xf>
    <xf numFmtId="0" fontId="19" fillId="0" borderId="0" xfId="0" applyFont="1" applyNumberFormat="1">
      <alignment horizontal="right" vertical="center"/>
    </xf>
    <xf numFmtId="0" fontId="37"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24" fillId="34" borderId="0" xfId="0" applyFont="1" applyFill="1" applyNumberFormat="1">
      <alignment horizontal="center" vertical="center" wrapText="1"/>
    </xf>
    <xf numFmtId="49" fontId="24" fillId="34" borderId="0" xfId="0" applyFont="1" applyFill="1" applyNumberFormat="1">
      <alignment horizontal="center" vertical="center" wrapText="1"/>
    </xf>
    <xf numFmtId="0" fontId="19" fillId="0" borderId="0" xfId="0" applyFont="1" applyNumberFormat="1">
      <alignment vertical="center" wrapText="1"/>
    </xf>
    <xf numFmtId="0" fontId="70" fillId="34" borderId="0" xfId="0" applyFont="1" applyFill="1" applyNumberFormat="1">
      <alignment horizontal="center" vertical="center" wrapText="1"/>
    </xf>
    <xf numFmtId="49" fontId="63" fillId="0" borderId="17" xfId="0" applyFont="1" applyBorder="1" applyNumberFormat="1">
      <alignment horizontal="left" vertical="center" wrapText="1"/>
    </xf>
    <xf numFmtId="49" fontId="63"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5"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xf>
    <xf numFmtId="49" fontId="24" fillId="34" borderId="12" xfId="0" applyFont="1" applyFill="1" applyBorder="1" applyNumberFormat="1">
      <alignment horizontal="center" vertical="center" wrapText="1"/>
    </xf>
    <xf numFmtId="4" fontId="0" fillId="38"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 fontId="0" fillId="38" borderId="13" xfId="0" applyFont="1" applyFill="1" applyBorder="1" applyNumberFormat="1">
      <alignment horizontal="right" vertical="center" wrapText="1"/>
      <protection locked="0"/>
    </xf>
    <xf numFmtId="0" fontId="0" fillId="35"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39" fillId="36" borderId="14" xfId="0" applyFont="1" applyFill="1" applyBorder="1" applyNumberFormat="1">
      <alignment horizontal="center" vertical="center"/>
    </xf>
    <xf numFmtId="0" fontId="29" fillId="36" borderId="15" xfId="0" applyFont="1" applyFill="1" applyBorder="1" applyNumberFormat="1">
      <alignment vertical="center"/>
    </xf>
    <xf numFmtId="49" fontId="29" fillId="36" borderId="15" xfId="0" applyFont="1" applyFill="1" applyBorder="1" applyNumberFormat="1">
      <alignment vertical="center"/>
    </xf>
    <xf numFmtId="49" fontId="60" fillId="36" borderId="15" xfId="0" applyFont="1" applyFill="1" applyBorder="1" applyNumberFormat="1">
      <alignment vertical="center"/>
    </xf>
    <xf numFmtId="49" fontId="60" fillId="36" borderId="13" xfId="0" applyFont="1" applyFill="1" applyBorder="1" applyNumberFormat="1">
      <alignment vertical="center"/>
    </xf>
    <xf numFmtId="0" fontId="0" fillId="0" borderId="23" xfId="0" applyFont="1" applyBorder="1" applyNumberFormat="1">
      <alignment horizontal="left" vertical="top" wrapText="1"/>
    </xf>
    <xf numFmtId="0" fontId="20" fillId="0" borderId="0" xfId="0" applyFont="1" applyNumberFormat="1">
      <alignment vertical="center" wrapText="1"/>
    </xf>
    <xf numFmtId="0" fontId="25" fillId="0" borderId="0" xfId="0" applyFont="1" applyNumberFormat="1">
      <alignment horizontal="center" vertical="center" wrapText="1"/>
    </xf>
    <xf numFmtId="0" fontId="19" fillId="0" borderId="0" xfId="0" applyFont="1" applyNumberFormat="1">
      <alignment vertical="center" wrapText="1"/>
    </xf>
    <xf numFmtId="0" fontId="31" fillId="0" borderId="0" xfId="0" applyFont="1" applyNumberFormat="1">
      <alignment vertical="center" wrapText="1"/>
    </xf>
    <xf numFmtId="0" fontId="19" fillId="0" borderId="0" xfId="0" applyFont="1" applyNumberFormat="1">
      <alignment vertical="center" wrapText="1"/>
    </xf>
    <xf numFmtId="0" fontId="25" fillId="34" borderId="0" xfId="0" applyFont="1" applyFill="1" applyNumberFormat="1">
      <alignment horizontal="center" vertical="center" wrapText="1"/>
    </xf>
    <xf numFmtId="49" fontId="0" fillId="0" borderId="37" xfId="0" applyFont="1" applyBorder="1" applyNumberFormat="1">
      <alignment horizontal="center" vertical="center" wrapText="1"/>
    </xf>
    <xf numFmtId="0" fontId="19" fillId="39" borderId="19" xfId="0" applyFont="1" applyFill="1" applyBorder="1" applyNumberFormat="1">
      <alignment horizontal="left" vertical="center" wrapText="1"/>
    </xf>
    <xf numFmtId="0" fontId="25"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19" fillId="38" borderId="12" xfId="0" applyFont="1" applyFill="1" applyBorder="1" applyNumberFormat="1">
      <alignment horizontal="left" vertical="center" wrapText="1"/>
      <protection locked="0"/>
    </xf>
    <xf numFmtId="3" fontId="19" fillId="38" borderId="12" xfId="0" applyFont="1" applyFill="1" applyBorder="1" applyNumberFormat="1">
      <alignment horizontal="right" vertical="center" wrapText="1"/>
      <protection locked="0"/>
    </xf>
    <xf numFmtId="0" fontId="37" fillId="0" borderId="0" xfId="0" applyFont="1" applyNumberFormat="1">
      <alignment vertical="center" wrapText="1"/>
    </xf>
    <xf numFmtId="0" fontId="37" fillId="0" borderId="0" xfId="0" applyFont="1" applyNumberFormat="1">
      <alignment vertical="center"/>
    </xf>
    <xf numFmtId="49" fontId="0" fillId="0" borderId="30" xfId="0" applyFont="1" applyBorder="1" applyNumberFormat="1">
      <alignment horizontal="center" vertical="center" wrapText="1"/>
    </xf>
    <xf numFmtId="0" fontId="19" fillId="39" borderId="27" xfId="0" applyFont="1" applyFill="1" applyBorder="1" applyNumberFormat="1">
      <alignment horizontal="left" vertical="center" wrapText="1"/>
    </xf>
    <xf numFmtId="0" fontId="78" fillId="0" borderId="0" xfId="0" applyFont="1" applyNumberFormat="1">
      <alignment vertical="center" wrapText="1"/>
    </xf>
    <xf numFmtId="0" fontId="37" fillId="0" borderId="0" xfId="0" applyFont="1" applyNumberFormat="1">
      <alignment vertical="center" wrapText="1"/>
    </xf>
    <xf numFmtId="0" fontId="25" fillId="34" borderId="0" xfId="0" applyFont="1" applyFill="1" applyNumberFormat="1">
      <alignment horizontal="center" vertical="center" wrapText="1"/>
    </xf>
    <xf numFmtId="0" fontId="19" fillId="0" borderId="19" xfId="0" applyFont="1" applyBorder="1" applyNumberFormat="1">
      <alignment horizontal="left" vertical="top" wrapText="1" indent="1"/>
    </xf>
    <xf numFmtId="0" fontId="54" fillId="0" borderId="0" xfId="0" applyFont="1" applyNumberFormat="1">
      <alignment vertical="center" wrapText="1"/>
    </xf>
    <xf numFmtId="0" fontId="50" fillId="0" borderId="0" xfId="0" applyFont="1" applyNumberFormat="1">
      <alignment vertical="center" wrapText="1"/>
    </xf>
    <xf numFmtId="0" fontId="48" fillId="0" borderId="0" xfId="0" applyFont="1" applyNumberFormat="1">
      <alignment vertical="center" wrapText="1"/>
    </xf>
    <xf numFmtId="0" fontId="19" fillId="0" borderId="23" xfId="0" applyFont="1" applyBorder="1" applyNumberFormat="1">
      <alignment horizontal="center" vertical="center" wrapText="1"/>
    </xf>
    <xf numFmtId="0" fontId="19" fillId="0" borderId="0" xfId="0" applyFont="1" applyNumberFormat="1">
      <alignment vertical="center" wrapText="1"/>
    </xf>
    <xf numFmtId="0" fontId="25"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20" fillId="0" borderId="0" xfId="0" applyFont="1" applyNumberFormat="1">
      <alignment vertical="center" wrapText="1"/>
    </xf>
    <xf numFmtId="0" fontId="50" fillId="34" borderId="0" xfId="0" applyFont="1" applyFill="1" applyNumberFormat="1">
      <alignment vertical="center" wrapText="1"/>
    </xf>
    <xf numFmtId="0" fontId="50" fillId="34" borderId="0" xfId="0" applyFont="1" applyFill="1" applyNumberFormat="1">
      <alignment horizontal="right" vertical="center"/>
    </xf>
    <xf numFmtId="0" fontId="50" fillId="34" borderId="0" xfId="0" applyFont="1" applyFill="1" applyNumberFormat="1">
      <alignment horizontal="right"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35" fillId="0" borderId="0" xfId="0" applyFont="1" applyNumberFormat="1">
      <alignment horizontal="center" vertical="center" wrapText="1"/>
    </xf>
    <xf numFmtId="4" fontId="50" fillId="0" borderId="0" xfId="0" applyFont="1" applyNumberFormat="1">
      <alignment horizontal="right" vertical="center" wrapText="1"/>
    </xf>
    <xf numFmtId="0" fontId="19"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24" fillId="34" borderId="15" xfId="0" applyFont="1" applyFill="1" applyBorder="1" applyNumberFormat="1">
      <alignment horizontal="center" vertical="center" wrapText="1"/>
    </xf>
    <xf numFmtId="49" fontId="24" fillId="34" borderId="15" xfId="0" applyFont="1" applyFill="1" applyBorder="1" applyNumberFormat="1">
      <alignment horizontal="center" vertical="center" wrapText="1"/>
    </xf>
    <xf numFmtId="0" fontId="25" fillId="34" borderId="0" xfId="0" applyFont="1" applyFill="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19" fillId="0" borderId="0" xfId="0" applyFont="1" applyNumberFormat="1">
      <alignment vertical="top"/>
    </xf>
    <xf numFmtId="0" fontId="25" fillId="34" borderId="24" xfId="0" applyFont="1" applyFill="1" applyBorder="1" applyNumberFormat="1">
      <alignment vertical="top" wrapText="1"/>
    </xf>
    <xf numFmtId="14"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49" fontId="43" fillId="36"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37" fillId="0" borderId="0" xfId="0" applyFont="1" applyNumberFormat="1">
      <alignment horizontal="left" vertical="center" wrapText="1"/>
    </xf>
    <xf numFmtId="49" fontId="37" fillId="0" borderId="0" xfId="0" applyFont="1" applyNumberFormat="1">
      <alignment horizontal="left" vertical="center" wrapText="1"/>
    </xf>
    <xf numFmtId="0" fontId="25" fillId="34" borderId="0" xfId="0" applyFont="1" applyFill="1" applyNumberFormat="1">
      <alignment vertical="top" wrapText="1"/>
    </xf>
    <xf numFmtId="0" fontId="37" fillId="34" borderId="23" xfId="0" applyFont="1" applyFill="1" applyBorder="1" applyNumberFormat="1">
      <alignment horizontal="center" vertical="center" wrapText="1"/>
    </xf>
    <xf numFmtId="14" fontId="19" fillId="39" borderId="23" xfId="0" applyFont="1" applyFill="1" applyBorder="1" applyNumberFormat="1">
      <alignment horizontal="left" vertical="center" wrapText="1"/>
    </xf>
    <xf numFmtId="14" fontId="19" fillId="39" borderId="12" xfId="0" applyFont="1" applyFill="1" applyBorder="1" applyNumberFormat="1">
      <alignment horizontal="center" vertical="center" wrapText="1"/>
    </xf>
    <xf numFmtId="49" fontId="43" fillId="38" borderId="12" xfId="0" applyFont="1" applyFill="1" applyBorder="1" applyNumberFormat="1">
      <alignment horizontal="left" vertical="center" wrapText="1"/>
      <protection locked="0"/>
    </xf>
    <xf numFmtId="49" fontId="39" fillId="36" borderId="15" xfId="0" applyFont="1" applyFill="1" applyBorder="1" applyNumberFormat="1">
      <alignment horizontal="center" vertical="center"/>
    </xf>
    <xf numFmtId="49" fontId="60" fillId="36" borderId="15" xfId="0" applyFont="1" applyFill="1" applyBorder="1" applyNumberFormat="1">
      <alignment horizontal="left" vertical="center" indent="1"/>
    </xf>
    <xf numFmtId="49" fontId="60" fillId="36" borderId="13" xfId="0" applyFont="1" applyFill="1" applyBorder="1" applyNumberFormat="1">
      <alignment horizontal="left" vertical="center" indent="1"/>
    </xf>
    <xf numFmtId="0" fontId="69" fillId="0" borderId="0" xfId="0" applyFont="1" applyNumberFormat="1">
      <alignment horizontal="center" vertical="center" wrapText="1"/>
    </xf>
    <xf numFmtId="0" fontId="34" fillId="0" borderId="0" xfId="0" applyFont="1" applyNumberFormat="1">
      <alignment vertical="top" wrapText="1"/>
    </xf>
    <xf numFmtId="0" fontId="19" fillId="0" borderId="0" xfId="0" applyFont="1" applyNumberFormat="1">
      <alignment horizontal="right" vertical="top" wrapText="1"/>
    </xf>
    <xf numFmtId="0" fontId="34" fillId="0" borderId="0" xfId="0" applyFont="1" applyNumberFormat="1">
      <alignment vertical="top"/>
    </xf>
    <xf numFmtId="0" fontId="19" fillId="0" borderId="0" xfId="0" applyFont="1" applyNumberFormat="1">
      <alignment vertical="center" wrapText="1"/>
    </xf>
    <xf numFmtId="0" fontId="36" fillId="0" borderId="0" xfId="0" applyFont="1" applyNumberFormat="1">
      <alignment horizontal="left" vertical="center" indent="1"/>
    </xf>
    <xf numFmtId="0" fontId="36" fillId="0" borderId="12" xfId="0" applyFont="1" applyBorder="1" applyNumberFormat="1">
      <alignment horizontal="center" vertical="center"/>
    </xf>
    <xf numFmtId="0" fontId="36" fillId="0" borderId="0" xfId="0" applyFont="1" applyNumberFormat="1">
      <alignment horizontal="center" vertical="center"/>
    </xf>
    <xf numFmtId="0" fontId="36" fillId="0" borderId="0" xfId="0" applyFont="1" applyNumberFormat="1">
      <alignment horizontal="left" vertical="center" wrapText="1"/>
    </xf>
    <xf numFmtId="49" fontId="19" fillId="0" borderId="0" xfId="0" applyFont="1" applyNumberFormat="1">
      <alignment vertical="center" wrapText="1"/>
    </xf>
    <xf numFmtId="49" fontId="19" fillId="0" borderId="0" xfId="0" applyFont="1" applyNumberFormat="1">
      <alignment vertical="top"/>
    </xf>
    <xf numFmtId="49" fontId="19" fillId="0" borderId="24" xfId="0" applyFont="1" applyBorder="1" applyNumberFormat="1">
      <alignment vertical="top"/>
    </xf>
    <xf numFmtId="0" fontId="19" fillId="34" borderId="12" xfId="0" applyFont="1" applyFill="1" applyBorder="1" applyNumberFormat="1">
      <alignment horizontal="left" vertical="center" wrapText="1"/>
    </xf>
    <xf numFmtId="0" fontId="19" fillId="0" borderId="12" xfId="0" applyFont="1" applyBorder="1" applyNumberFormat="1">
      <alignment vertical="center" wrapText="1"/>
    </xf>
    <xf numFmtId="0" fontId="19" fillId="0" borderId="12" xfId="0" applyFont="1" applyBorder="1" applyNumberFormat="1">
      <alignment horizontal="left" vertical="center" wrapText="1" indent="6"/>
    </xf>
    <xf numFmtId="0" fontId="19" fillId="33" borderId="14" xfId="0" applyFont="1" applyFill="1" applyBorder="1" applyNumberFormat="1">
      <alignment horizontal="left" vertical="center" wrapText="1"/>
    </xf>
    <xf numFmtId="0" fontId="19" fillId="33" borderId="15" xfId="0" applyFont="1" applyFill="1" applyBorder="1" applyNumberFormat="1">
      <alignment horizontal="left" vertical="center" wrapText="1"/>
    </xf>
    <xf numFmtId="0" fontId="19" fillId="33" borderId="13" xfId="0" applyFont="1" applyFill="1" applyBorder="1" applyNumberFormat="1">
      <alignment horizontal="left" vertical="center" wrapText="1"/>
    </xf>
    <xf numFmtId="0" fontId="34" fillId="0" borderId="12" xfId="0" applyFont="1" applyBorder="1" applyNumberFormat="1">
      <alignment vertical="top" wrapText="1"/>
    </xf>
    <xf numFmtId="0" fontId="36" fillId="0" borderId="14" xfId="0" applyFont="1" applyBorder="1" applyNumberFormat="1">
      <alignment horizontal="center" vertical="center"/>
    </xf>
    <xf numFmtId="0" fontId="19" fillId="0" borderId="0" xfId="0" applyFont="1" applyNumberFormat="1">
      <alignment horizontal="center" vertical="center" wrapText="1"/>
    </xf>
    <xf numFmtId="0" fontId="31" fillId="34" borderId="0" xfId="0" applyFont="1" applyFill="1" applyNumberFormat="1">
      <alignment horizontal="center" vertical="center" wrapText="1"/>
    </xf>
    <xf numFmtId="0" fontId="19" fillId="0" borderId="24" xfId="0" applyFont="1" applyBorder="1" applyNumberFormat="1">
      <alignment vertical="center" wrapText="1"/>
    </xf>
    <xf numFmtId="0" fontId="19" fillId="34" borderId="12" xfId="0" applyFont="1" applyFill="1" applyBorder="1" applyNumberFormat="1">
      <alignment horizontal="left" vertical="center" wrapText="1" indent="1"/>
    </xf>
    <xf numFmtId="0" fontId="25" fillId="0" borderId="0" xfId="0" applyFont="1" applyNumberFormat="1">
      <alignment vertical="center" wrapText="1"/>
    </xf>
    <xf numFmtId="0" fontId="19" fillId="34" borderId="12" xfId="0" applyFont="1" applyFill="1" applyBorder="1" applyNumberFormat="1">
      <alignment horizontal="left" vertical="center" wrapText="1" indent="2"/>
    </xf>
    <xf numFmtId="0" fontId="19" fillId="34" borderId="12" xfId="0" applyFont="1" applyFill="1" applyBorder="1" applyNumberFormat="1">
      <alignment horizontal="left" vertical="center" wrapText="1" indent="3"/>
    </xf>
    <xf numFmtId="0" fontId="36" fillId="0" borderId="12" xfId="0" applyFont="1" applyBorder="1" applyNumberFormat="1">
      <alignment horizontal="center" vertical="center" wrapText="1"/>
    </xf>
    <xf numFmtId="0" fontId="36" fillId="0" borderId="0" xfId="0" applyFont="1" applyNumberFormat="1">
      <alignment vertical="center" wrapText="1"/>
    </xf>
    <xf numFmtId="0" fontId="37" fillId="0" borderId="0" xfId="0" applyFont="1" applyNumberFormat="1">
      <alignment horizontal="center" vertical="center" wrapText="1"/>
    </xf>
    <xf numFmtId="0" fontId="37" fillId="0" borderId="0" xfId="0" applyFont="1" applyNumberFormat="1">
      <alignment horizontal="center" vertical="center" wrapText="1"/>
    </xf>
    <xf numFmtId="0" fontId="37" fillId="0" borderId="24" xfId="0" applyFont="1" applyBorder="1" applyNumberFormat="1">
      <alignment horizontal="center" vertical="center" wrapText="1"/>
    </xf>
    <xf numFmtId="0" fontId="19" fillId="34" borderId="12" xfId="0" applyFont="1" applyFill="1" applyBorder="1" applyNumberFormat="1">
      <alignment horizontal="left" vertical="center" wrapText="1" indent="4"/>
    </xf>
    <xf numFmtId="0" fontId="19" fillId="39" borderId="14" xfId="0" applyFont="1" applyFill="1" applyBorder="1" applyNumberFormat="1">
      <alignment horizontal="left" vertical="center" wrapText="1"/>
    </xf>
    <xf numFmtId="0" fontId="19" fillId="39" borderId="15" xfId="0" applyFont="1" applyFill="1" applyBorder="1" applyNumberFormat="1">
      <alignment horizontal="left" vertical="center" wrapText="1"/>
    </xf>
    <xf numFmtId="0" fontId="19" fillId="39" borderId="13" xfId="0" applyFont="1" applyFill="1" applyBorder="1" applyNumberFormat="1">
      <alignment horizontal="left" vertical="center" wrapText="1"/>
    </xf>
    <xf numFmtId="0" fontId="36" fillId="0" borderId="14" xfId="0" applyFont="1" applyBorder="1" applyNumberFormat="1">
      <alignment horizontal="center" vertical="center" wrapText="1"/>
    </xf>
    <xf numFmtId="0" fontId="36" fillId="0" borderId="0" xfId="0" applyFont="1" applyNumberFormat="1">
      <alignment vertical="center" wrapText="1"/>
    </xf>
    <xf numFmtId="0" fontId="37" fillId="0" borderId="24" xfId="0" applyFont="1" applyBorder="1" applyNumberFormat="1">
      <alignment vertical="center" wrapText="1"/>
    </xf>
    <xf numFmtId="0" fontId="19" fillId="34" borderId="12" xfId="0" applyFont="1" applyFill="1" applyBorder="1" applyNumberFormat="1">
      <alignment horizontal="left" vertical="center" wrapText="1" indent="5"/>
    </xf>
    <xf numFmtId="0" fontId="19" fillId="39" borderId="12" xfId="0" applyFont="1" applyFill="1" applyBorder="1" applyNumberFormat="1">
      <alignment horizontal="left" vertical="center" wrapText="1" indent="6"/>
    </xf>
    <xf numFmtId="4" fontId="19" fillId="35" borderId="12" xfId="0" applyFont="1" applyFill="1" applyBorder="1" applyNumberFormat="1">
      <alignment horizontal="right" vertical="center" wrapText="1"/>
      <protection locked="0"/>
    </xf>
    <xf numFmtId="4" fontId="19" fillId="0" borderId="12" xfId="0" applyFont="1" applyBorder="1" applyNumberFormat="1">
      <alignment horizontal="right" vertical="center" wrapText="1"/>
    </xf>
    <xf numFmtId="172" fontId="19" fillId="35" borderId="12" xfId="0" applyFont="1" applyFill="1" applyBorder="1" applyNumberFormat="1">
      <alignment horizontal="right" vertical="center" wrapText="1"/>
      <protection locked="0"/>
    </xf>
    <xf numFmtId="174" fontId="0" fillId="38" borderId="12" xfId="0" applyFont="1" applyFill="1" applyBorder="1" applyNumberFormat="1">
      <alignment horizontal="center" vertical="center" wrapText="1"/>
      <protection locked="0"/>
    </xf>
    <xf numFmtId="0" fontId="34" fillId="0" borderId="17" xfId="0" applyFont="1" applyBorder="1" applyNumberFormat="1">
      <alignment horizontal="left" vertical="top" wrapText="1"/>
    </xf>
    <xf numFmtId="49" fontId="19" fillId="0" borderId="12" xfId="0" applyFont="1" applyBorder="1" applyNumberFormat="1">
      <alignment horizontal="left" vertical="center" wrapText="1"/>
    </xf>
    <xf numFmtId="4" fontId="37" fillId="0" borderId="12" xfId="0" applyFont="1" applyBorder="1" applyNumberFormat="1">
      <alignment horizontal="center" vertical="center" wrapText="1"/>
    </xf>
    <xf numFmtId="49" fontId="0" fillId="38" borderId="12" xfId="0" applyFont="1" applyFill="1" applyBorder="1" applyNumberFormat="1">
      <alignment horizontal="center" vertical="center" wrapText="1"/>
      <protection locked="0"/>
    </xf>
    <xf numFmtId="0" fontId="34" fillId="0" borderId="36" xfId="0" applyFont="1" applyBorder="1" applyNumberFormat="1">
      <alignment horizontal="left" vertical="top" wrapText="1"/>
    </xf>
    <xf numFmtId="49" fontId="60" fillId="36" borderId="14" xfId="0" applyFont="1" applyFill="1" applyBorder="1" applyNumberFormat="1">
      <alignment horizontal="left" vertical="center"/>
    </xf>
    <xf numFmtId="49" fontId="29" fillId="36" borderId="15" xfId="0" applyFont="1" applyFill="1" applyBorder="1" applyNumberFormat="1">
      <alignment horizontal="left" vertical="center" indent="6"/>
    </xf>
    <xf numFmtId="49" fontId="19" fillId="36" borderId="13" xfId="0" applyFont="1" applyFill="1" applyBorder="1" applyNumberFormat="1">
      <alignment horizontal="center" vertical="center" wrapText="1"/>
    </xf>
    <xf numFmtId="0" fontId="34" fillId="0" borderId="23" xfId="0" applyFont="1" applyBorder="1" applyNumberFormat="1">
      <alignment horizontal="left" vertical="top" wrapText="1"/>
    </xf>
    <xf numFmtId="49" fontId="29" fillId="36" borderId="15" xfId="0" applyFont="1" applyFill="1" applyBorder="1" applyNumberFormat="1">
      <alignment horizontal="left" vertical="center" indent="5"/>
    </xf>
    <xf numFmtId="49" fontId="0" fillId="36" borderId="15" xfId="0" applyFont="1" applyFill="1" applyBorder="1" applyNumberFormat="1">
      <alignment horizontal="center" vertical="center" wrapText="1"/>
    </xf>
    <xf numFmtId="49" fontId="0" fillId="36" borderId="13" xfId="0" applyFont="1" applyFill="1" applyBorder="1" applyNumberFormat="1">
      <alignment horizontal="center" vertical="center" wrapText="1"/>
    </xf>
    <xf numFmtId="49" fontId="28" fillId="0" borderId="0" xfId="0" applyFont="1" applyNumberFormat="1">
      <alignment vertical="top"/>
    </xf>
    <xf numFmtId="49" fontId="29" fillId="36" borderId="15" xfId="0" applyFont="1" applyFill="1" applyBorder="1" applyNumberFormat="1">
      <alignment horizontal="left" vertical="center" indent="4"/>
    </xf>
    <xf numFmtId="0" fontId="37" fillId="0" borderId="0" xfId="0" applyFont="1" applyNumberFormat="1">
      <alignment vertical="center" wrapText="1"/>
    </xf>
    <xf numFmtId="0" fontId="37" fillId="0" borderId="0" xfId="0" applyFont="1" applyNumberFormat="1">
      <alignment horizontal="left" vertical="center" indent="1"/>
    </xf>
    <xf numFmtId="0" fontId="37" fillId="0" borderId="0" xfId="0" applyFont="1" applyNumberFormat="1">
      <alignment horizontal="center" vertical="center"/>
    </xf>
    <xf numFmtId="0" fontId="37" fillId="0" borderId="0" xfId="0" applyFont="1" applyNumberFormat="1">
      <alignment horizontal="left" vertical="center" wrapText="1"/>
    </xf>
    <xf numFmtId="49" fontId="37"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7" fillId="0" borderId="19" xfId="0" applyFont="1" applyBorder="1" applyNumberFormat="1">
      <alignment horizontal="left" vertical="center" indent="3"/>
    </xf>
    <xf numFmtId="49" fontId="37" fillId="0" borderId="19" xfId="0" applyFont="1" applyBorder="1" applyNumberFormat="1">
      <alignment horizontal="center" vertical="center" wrapText="1"/>
    </xf>
    <xf numFmtId="49" fontId="37" fillId="0" borderId="0" xfId="0" applyFont="1" applyNumberFormat="1">
      <alignment horizontal="left" vertical="center"/>
    </xf>
    <xf numFmtId="49" fontId="87" fillId="0" borderId="0" xfId="0" applyFont="1" applyNumberFormat="1">
      <alignment horizontal="left" vertical="center"/>
    </xf>
    <xf numFmtId="49" fontId="37" fillId="0" borderId="0" xfId="0" applyFont="1" applyNumberFormat="1">
      <alignment horizontal="left" vertical="center" indent="2"/>
    </xf>
    <xf numFmtId="49" fontId="37" fillId="0" borderId="0" xfId="0" applyFont="1" applyNumberFormat="1">
      <alignment horizontal="center" vertical="center" wrapText="1"/>
    </xf>
    <xf numFmtId="49" fontId="37" fillId="0" borderId="0" xfId="0" applyFont="1" applyNumberFormat="1">
      <alignment horizontal="left" vertical="center" indent="1"/>
    </xf>
    <xf numFmtId="49" fontId="19" fillId="0" borderId="0" xfId="0" applyFont="1" applyNumberFormat="1">
      <alignment vertical="center" wrapText="1"/>
    </xf>
    <xf numFmtId="4" fontId="36" fillId="0" borderId="12" xfId="0" applyFont="1" applyBorder="1" applyNumberFormat="1">
      <alignment horizontal="right" vertical="center" wrapText="1"/>
    </xf>
    <xf numFmtId="172" fontId="36" fillId="0" borderId="12" xfId="0" applyFont="1" applyBorder="1" applyNumberFormat="1">
      <alignment horizontal="right" vertical="center" wrapText="1"/>
    </xf>
    <xf numFmtId="174" fontId="36" fillId="0" borderId="12" xfId="0" applyFont="1" applyBorder="1" applyNumberFormat="1">
      <alignment horizontal="center" vertical="center" wrapText="1"/>
    </xf>
    <xf numFmtId="49" fontId="36" fillId="0" borderId="12" xfId="0" applyFont="1" applyBorder="1" applyNumberFormat="1">
      <alignment horizontal="center" vertical="center" wrapText="1"/>
    </xf>
    <xf numFmtId="0" fontId="36" fillId="0" borderId="0" xfId="0" applyFont="1" applyNumberFormat="1">
      <alignment vertical="center" wrapText="1"/>
    </xf>
    <xf numFmtId="0" fontId="36" fillId="0" borderId="0" xfId="0" applyFont="1" applyNumberFormat="1">
      <alignment horizontal="center" vertical="center" wrapText="1"/>
    </xf>
    <xf numFmtId="49" fontId="36" fillId="0" borderId="0" xfId="0" applyFont="1" applyNumberFormat="1">
      <alignment vertical="center" wrapText="1"/>
    </xf>
    <xf numFmtId="49" fontId="36" fillId="0" borderId="12" xfId="0" applyFont="1" applyBorder="1" applyNumberFormat="1">
      <alignment vertical="center" wrapText="1"/>
    </xf>
    <xf numFmtId="0" fontId="59" fillId="0" borderId="0" xfId="0" applyFont="1" applyNumberFormat="1">
      <alignment vertical="center" wrapText="1"/>
    </xf>
    <xf numFmtId="0" fontId="36" fillId="0" borderId="0" xfId="0" applyFont="1" applyNumberFormat="1">
      <alignment horizontal="left" vertical="center" wrapText="1"/>
    </xf>
    <xf numFmtId="0" fontId="28" fillId="34" borderId="0" xfId="0" applyFont="1" applyFill="1" applyNumberFormat="1">
      <alignment vertical="center" wrapText="1"/>
    </xf>
    <xf numFmtId="0" fontId="19" fillId="34" borderId="0" xfId="0" applyFont="1" applyFill="1" applyNumberFormat="1">
      <alignment horizontal="left" vertical="center" wrapText="1"/>
    </xf>
    <xf numFmtId="0" fontId="19" fillId="34" borderId="0" xfId="0" applyFont="1" applyFill="1" applyNumberFormat="1">
      <alignment vertical="center" wrapText="1"/>
    </xf>
    <xf numFmtId="0" fontId="19" fillId="0" borderId="19" xfId="0" applyFont="1" applyBorder="1" applyNumberFormat="1">
      <alignment horizontal="left" vertical="top" wrapText="1" indent="1"/>
    </xf>
    <xf numFmtId="0" fontId="35" fillId="0" borderId="0" xfId="0" applyFont="1" applyNumberFormat="1">
      <alignment vertical="center" wrapText="1"/>
    </xf>
    <xf numFmtId="0" fontId="19" fillId="0" borderId="27" xfId="0" applyFont="1" applyBorder="1" applyNumberFormat="1">
      <alignment horizontal="left" vertical="center" wrapText="1" indent="1"/>
    </xf>
    <xf numFmtId="0" fontId="39" fillId="34" borderId="0" xfId="0" applyFont="1" applyFill="1" applyNumberFormat="1">
      <alignment horizontal="center" vertical="center" wrapText="1"/>
    </xf>
    <xf numFmtId="0" fontId="0" fillId="0" borderId="0" xfId="0" applyFont="1" applyNumberFormat="1">
      <alignment vertical="center"/>
    </xf>
    <xf numFmtId="0" fontId="36" fillId="0" borderId="0" xfId="0" applyFont="1" applyNumberFormat="1">
      <alignment vertical="center"/>
    </xf>
    <xf numFmtId="0" fontId="36" fillId="0" borderId="0" xfId="0" applyFont="1" applyNumberFormat="1">
      <alignment horizontal="center" vertical="center"/>
    </xf>
    <xf numFmtId="0" fontId="0" fillId="34" borderId="12" xfId="0" applyFont="1" applyFill="1" applyBorder="1" applyNumberFormat="1">
      <alignment horizontal="right" vertical="center" wrapText="1" indent="1"/>
    </xf>
    <xf numFmtId="0" fontId="0" fillId="0" borderId="15" xfId="0" applyFont="1" applyBorder="1" applyNumberFormat="1">
      <alignment vertical="center"/>
    </xf>
    <xf numFmtId="0" fontId="19" fillId="33" borderId="12" xfId="0" applyFont="1" applyFill="1" applyBorder="1" applyNumberFormat="1">
      <alignment horizontal="left" vertical="center" wrapText="1" indent="1"/>
    </xf>
    <xf numFmtId="0" fontId="19" fillId="0" borderId="0" xfId="0" applyFont="1" applyNumberFormat="1">
      <alignment vertical="center" wrapText="1"/>
    </xf>
    <xf numFmtId="0" fontId="58" fillId="0" borderId="0" xfId="0" applyFont="1" applyNumberFormat="1">
      <alignment vertical="center"/>
    </xf>
    <xf numFmtId="0" fontId="37" fillId="0" borderId="0" xfId="0" applyFont="1" applyNumberFormat="1">
      <alignment vertical="center"/>
    </xf>
    <xf numFmtId="174" fontId="19" fillId="33" borderId="12" xfId="0" applyFont="1" applyFill="1" applyBorder="1" applyNumberFormat="1">
      <alignment horizontal="left" vertical="center" wrapText="1" indent="1"/>
    </xf>
    <xf numFmtId="49" fontId="19" fillId="0" borderId="0" xfId="0" applyFont="1" applyNumberFormat="1">
      <alignment vertical="center" wrapText="1"/>
    </xf>
    <xf numFmtId="0" fontId="19" fillId="0" borderId="0" xfId="0" applyFont="1" applyNumberFormat="1">
      <alignment horizontal="right" vertical="center" wrapText="1"/>
    </xf>
    <xf numFmtId="0" fontId="37" fillId="0" borderId="0" xfId="0" applyFont="1" applyNumberFormat="1">
      <alignment vertical="center" wrapText="1"/>
    </xf>
    <xf numFmtId="0" fontId="19" fillId="34" borderId="27" xfId="0" applyFont="1" applyFill="1" applyBorder="1" applyNumberFormat="1">
      <alignment vertical="center" wrapText="1"/>
    </xf>
    <xf numFmtId="0" fontId="25" fillId="0" borderId="27" xfId="0" applyFont="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17" xfId="0" applyFont="1" applyBorder="1" applyNumberFormat="1">
      <alignmen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49" fontId="29" fillId="36" borderId="17" xfId="0" applyFont="1" applyFill="1" applyBorder="1" applyNumberFormat="1">
      <alignment horizontal="center" vertical="center" textRotation="90" wrapText="1"/>
    </xf>
    <xf numFmtId="0" fontId="19" fillId="0" borderId="36" xfId="0" applyFont="1" applyBorder="1" applyNumberFormat="1">
      <alignment vertical="center" wrapText="1"/>
    </xf>
    <xf numFmtId="0" fontId="19" fillId="0" borderId="17" xfId="0" applyFont="1" applyBorder="1" applyNumberFormat="1">
      <alignment horizontal="center" vertical="center" wrapText="1"/>
    </xf>
    <xf numFmtId="0" fontId="36" fillId="0" borderId="17"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5" xfId="0" applyFont="1" applyBorder="1" applyNumberFormat="1">
      <alignment horizontal="center" vertical="center" wrapText="1"/>
    </xf>
    <xf numFmtId="0" fontId="19" fillId="34" borderId="36" xfId="0" applyFont="1" applyFill="1" applyBorder="1" applyNumberFormat="1">
      <alignment horizontal="center" vertical="center" wrapText="1"/>
    </xf>
    <xf numFmtId="49" fontId="29" fillId="36" borderId="36" xfId="0" applyFont="1" applyFill="1" applyBorder="1" applyNumberFormat="1">
      <alignment horizontal="center" vertical="center" textRotation="90" wrapText="1"/>
    </xf>
    <xf numFmtId="0" fontId="36" fillId="0" borderId="0" xfId="0" applyFont="1" applyNumberFormat="1">
      <alignment vertical="center"/>
    </xf>
    <xf numFmtId="0" fontId="19" fillId="0" borderId="23" xfId="0" applyFont="1" applyBorder="1" applyNumberFormat="1">
      <alignment vertical="center" wrapText="1"/>
    </xf>
    <xf numFmtId="0" fontId="19" fillId="0" borderId="23" xfId="0" applyFont="1" applyBorder="1" applyNumberFormat="1">
      <alignment horizontal="center" vertical="center" wrapText="1"/>
    </xf>
    <xf numFmtId="0" fontId="36"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19" fillId="34"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29" fillId="36" borderId="23" xfId="0" applyFont="1" applyFill="1" applyBorder="1" applyNumberFormat="1">
      <alignment horizontal="center" vertical="center" textRotation="90" wrapText="1"/>
    </xf>
    <xf numFmtId="49" fontId="63" fillId="0" borderId="0" xfId="0" applyFont="1" applyNumberFormat="1">
      <alignment vertical="center" wrapText="1"/>
    </xf>
    <xf numFmtId="0" fontId="96" fillId="34" borderId="0" xfId="0" applyFont="1" applyFill="1" applyNumberFormat="1">
      <alignment vertical="center" wrapText="1"/>
    </xf>
    <xf numFmtId="0" fontId="97" fillId="34" borderId="0" xfId="0" applyFont="1" applyFill="1" applyNumberFormat="1">
      <alignment vertical="center" wrapText="1"/>
    </xf>
    <xf numFmtId="49" fontId="70" fillId="34" borderId="19" xfId="0" applyFont="1" applyFill="1" applyBorder="1" applyNumberFormat="1">
      <alignment horizontal="left" vertical="center" wrapText="1"/>
    </xf>
    <xf numFmtId="49" fontId="70" fillId="34" borderId="19" xfId="0" applyFont="1" applyFill="1" applyBorder="1" applyNumberFormat="1">
      <alignment horizontal="center" vertical="center" wrapText="1"/>
    </xf>
    <xf numFmtId="0" fontId="37"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174" fontId="0" fillId="38" borderId="17" xfId="0" applyFont="1" applyFill="1" applyBorder="1" applyNumberFormat="1">
      <alignment horizontal="center" vertical="center" wrapText="1"/>
      <protection locked="0"/>
    </xf>
    <xf numFmtId="4" fontId="19" fillId="0" borderId="17" xfId="0" applyFont="1" applyBorder="1" applyNumberFormat="1">
      <alignment horizontal="right" vertical="center" wrapText="1"/>
    </xf>
    <xf numFmtId="49" fontId="19" fillId="0" borderId="12" xfId="0" applyFont="1" applyBorder="1" applyNumberFormat="1">
      <alignment horizontal="left" vertical="center" wrapText="1"/>
    </xf>
    <xf numFmtId="49" fontId="0" fillId="38" borderId="23" xfId="0" applyFont="1" applyFill="1" applyBorder="1" applyNumberFormat="1">
      <alignment horizontal="center" vertical="center" wrapText="1"/>
      <protection locked="0"/>
    </xf>
    <xf numFmtId="4" fontId="19" fillId="0" borderId="23" xfId="0" applyFont="1" applyBorder="1" applyNumberFormat="1">
      <alignment horizontal="right" vertical="center" wrapText="1"/>
    </xf>
    <xf numFmtId="0" fontId="37" fillId="0" borderId="0" xfId="0" applyFont="1" applyNumberFormat="1">
      <alignment horizontal="left" vertical="center" indent="1"/>
    </xf>
    <xf numFmtId="0" fontId="37" fillId="0" borderId="0" xfId="0" applyFont="1" applyNumberFormat="1">
      <alignment horizontal="center" vertical="center"/>
    </xf>
    <xf numFmtId="49" fontId="37" fillId="0" borderId="0" xfId="0" applyFont="1" applyNumberFormat="1">
      <alignment vertical="top"/>
    </xf>
    <xf numFmtId="49" fontId="97" fillId="0" borderId="0" xfId="0" applyFont="1" applyNumberFormat="1">
      <alignment vertical="top"/>
    </xf>
    <xf numFmtId="0" fontId="19" fillId="0" borderId="0" xfId="0" applyFont="1" applyNumberFormat="1">
      <alignment horizontal="right" vertical="top" wrapText="1"/>
    </xf>
    <xf numFmtId="0" fontId="19" fillId="0" borderId="0" xfId="0" applyFont="1" applyNumberFormat="1">
      <alignment horizontal="left" vertical="top" wrapText="1"/>
    </xf>
    <xf numFmtId="49" fontId="19" fillId="0" borderId="0" xfId="0" applyFont="1" applyNumberFormat="1">
      <alignment vertical="center" wrapText="1"/>
    </xf>
    <xf numFmtId="49" fontId="19" fillId="0" borderId="0" xfId="0" applyFont="1" applyNumberFormat="1">
      <alignment vertical="center" wrapText="1"/>
    </xf>
    <xf numFmtId="0" fontId="28" fillId="0" borderId="0" xfId="0" applyFont="1" applyNumberFormat="1">
      <alignment vertical="center" wrapText="1"/>
    </xf>
    <xf numFmtId="0" fontId="19" fillId="0" borderId="0" xfId="0" applyFont="1" applyNumberFormat="1">
      <alignment horizontal="left" vertical="center" wrapText="1"/>
    </xf>
    <xf numFmtId="0" fontId="19" fillId="0" borderId="0" xfId="0" applyFont="1" applyNumberFormat="1">
      <alignment vertical="center" wrapText="1"/>
    </xf>
    <xf numFmtId="0" fontId="19" fillId="34" borderId="12" xfId="0" applyFont="1" applyFill="1" applyBorder="1" applyNumberFormat="1">
      <alignment horizontal="left" vertical="center" wrapText="1"/>
    </xf>
    <xf numFmtId="0" fontId="19" fillId="33" borderId="14" xfId="0" applyFont="1" applyFill="1" applyBorder="1" applyNumberFormat="1">
      <alignment horizontal="left" vertical="center" wrapText="1"/>
    </xf>
    <xf numFmtId="0" fontId="19" fillId="33" borderId="15" xfId="0" applyFont="1" applyFill="1" applyBorder="1" applyNumberFormat="1">
      <alignment horizontal="left" vertical="center" wrapText="1"/>
    </xf>
    <xf numFmtId="0" fontId="19" fillId="33" borderId="13"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0" fontId="19" fillId="39" borderId="14" xfId="0" applyFont="1" applyFill="1" applyBorder="1" applyNumberFormat="1">
      <alignment horizontal="left" vertical="center" wrapText="1"/>
    </xf>
    <xf numFmtId="0" fontId="19" fillId="39" borderId="15" xfId="0" applyFont="1" applyFill="1" applyBorder="1" applyNumberFormat="1">
      <alignment horizontal="left" vertical="center" wrapText="1"/>
    </xf>
    <xf numFmtId="0" fontId="19" fillId="39" borderId="13" xfId="0" applyFont="1" applyFill="1" applyBorder="1" applyNumberFormat="1">
      <alignment horizontal="left" vertical="center" wrapText="1"/>
    </xf>
    <xf numFmtId="4" fontId="19" fillId="35" borderId="12" xfId="0" applyFont="1" applyFill="1" applyBorder="1" applyNumberFormat="1">
      <alignment horizontal="right" vertical="center" wrapText="1"/>
      <protection locked="0"/>
    </xf>
    <xf numFmtId="4" fontId="19" fillId="0" borderId="12" xfId="0" applyFont="1" applyBorder="1" applyNumberFormat="1">
      <alignment horizontal="right" vertical="center" wrapText="1"/>
    </xf>
    <xf numFmtId="172" fontId="19" fillId="35" borderId="12" xfId="0" applyFont="1" applyFill="1" applyBorder="1" applyNumberFormat="1">
      <alignment horizontal="right" vertical="center" wrapText="1"/>
      <protection locked="0"/>
    </xf>
    <xf numFmtId="174" fontId="0" fillId="38" borderId="12" xfId="0" applyFont="1" applyFill="1" applyBorder="1" applyNumberFormat="1">
      <alignment horizontal="center" vertical="center" wrapText="1"/>
      <protection locked="0"/>
    </xf>
    <xf numFmtId="49" fontId="19" fillId="0" borderId="12" xfId="0" applyFont="1" applyBorder="1" applyNumberFormat="1">
      <alignment horizontal="left" vertical="center" wrapText="1"/>
    </xf>
    <xf numFmtId="4" fontId="37" fillId="0" borderId="12" xfId="0" applyFont="1" applyBorder="1" applyNumberFormat="1">
      <alignment horizontal="center" vertical="center" wrapText="1"/>
    </xf>
    <xf numFmtId="49" fontId="0" fillId="38" borderId="12" xfId="0" applyFont="1" applyFill="1" applyBorder="1" applyNumberFormat="1">
      <alignment horizontal="center" vertical="center" wrapText="1"/>
      <protection locked="0"/>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37" fillId="0" borderId="19" xfId="0" applyFont="1" applyBorder="1" applyNumberFormat="1">
      <alignment horizontal="center" vertical="center" wrapText="1"/>
    </xf>
    <xf numFmtId="49" fontId="37" fillId="0" borderId="0" xfId="0" applyFont="1" applyNumberFormat="1">
      <alignment horizontal="center" vertical="center" wrapText="1"/>
    </xf>
    <xf numFmtId="0" fontId="36" fillId="0" borderId="0" xfId="0" applyFont="1" applyNumberFormat="1">
      <alignment vertical="center" wrapText="1"/>
    </xf>
    <xf numFmtId="49" fontId="36" fillId="0" borderId="12" xfId="0" applyFont="1" applyBorder="1" applyNumberFormat="1">
      <alignment vertical="center" wrapText="1"/>
    </xf>
    <xf numFmtId="0" fontId="36" fillId="0" borderId="0" xfId="0" applyFont="1" applyNumberFormat="1">
      <alignment vertical="center"/>
    </xf>
    <xf numFmtId="0" fontId="19" fillId="0" borderId="19" xfId="0" applyFont="1" applyBorder="1" applyNumberFormat="1">
      <alignment horizontal="left" vertical="top" wrapText="1" indent="1"/>
    </xf>
    <xf numFmtId="0" fontId="19" fillId="0" borderId="27" xfId="0" applyFont="1" applyBorder="1" applyNumberFormat="1">
      <alignment horizontal="left" vertical="center" wrapText="1" indent="1"/>
    </xf>
    <xf numFmtId="0" fontId="39" fillId="34" borderId="0" xfId="0" applyFont="1" applyFill="1" applyNumberFormat="1">
      <alignment horizontal="center" vertical="center" wrapText="1"/>
    </xf>
    <xf numFmtId="0" fontId="19" fillId="33" borderId="12" xfId="0" applyFont="1" applyFill="1" applyBorder="1" applyNumberFormat="1">
      <alignment horizontal="left" vertical="center" wrapText="1" indent="1"/>
    </xf>
    <xf numFmtId="174" fontId="19" fillId="33" borderId="12" xfId="0" applyFont="1" applyFill="1" applyBorder="1" applyNumberFormat="1">
      <alignment horizontal="left" vertical="center" wrapText="1" indent="1"/>
    </xf>
    <xf numFmtId="0" fontId="19" fillId="0" borderId="0" xfId="0" applyFont="1" applyNumberFormat="1">
      <alignment horizontal="right" vertical="center" wrapText="1"/>
    </xf>
    <xf numFmtId="0" fontId="37" fillId="0" borderId="0" xfId="0" applyFont="1" applyNumberFormat="1">
      <alignment vertical="center" wrapText="1"/>
    </xf>
    <xf numFmtId="0" fontId="25" fillId="0" borderId="27" xfId="0" applyFont="1" applyBorder="1" applyNumberFormat="1">
      <alignment horizontal="center" vertical="center" wrapText="1"/>
    </xf>
    <xf numFmtId="0" fontId="19" fillId="0" borderId="12" xfId="0" applyFont="1" applyBorder="1" applyNumberFormat="1">
      <alignment horizontal="center"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0" fontId="19" fillId="0" borderId="17" xfId="0" applyFont="1" applyBorder="1" applyNumberFormat="1">
      <alignment horizontal="center" vertical="center" wrapText="1"/>
    </xf>
    <xf numFmtId="0" fontId="36" fillId="0" borderId="17"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5" xfId="0" applyFont="1" applyBorder="1" applyNumberFormat="1">
      <alignment horizontal="center" vertical="center" wrapText="1"/>
    </xf>
    <xf numFmtId="0" fontId="19" fillId="34" borderId="36" xfId="0" applyFont="1" applyFill="1" applyBorder="1" applyNumberFormat="1">
      <alignment horizontal="center" vertical="center" wrapText="1"/>
    </xf>
    <xf numFmtId="0" fontId="0" fillId="0" borderId="12" xfId="0" applyFont="1" applyBorder="1" applyNumberFormat="1">
      <alignment horizontal="center" vertical="center" wrapText="1"/>
    </xf>
    <xf numFmtId="0" fontId="19" fillId="0" borderId="23" xfId="0" applyFont="1" applyBorder="1" applyNumberFormat="1">
      <alignment horizontal="center" vertical="center" wrapText="1"/>
    </xf>
    <xf numFmtId="0" fontId="36"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19" fillId="34" borderId="23"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174" fontId="0" fillId="38" borderId="17" xfId="0" applyFont="1" applyFill="1" applyBorder="1" applyNumberFormat="1">
      <alignment horizontal="center" vertical="center" wrapText="1"/>
      <protection locked="0"/>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0" borderId="0" xfId="0" applyFont="1" applyNumberFormat="1">
      <alignment vertical="top"/>
    </xf>
    <xf numFmtId="0" fontId="36" fillId="0" borderId="0" xfId="0" applyFont="1" applyNumberFormat="1">
      <alignment horizontal="left" vertical="center" indent="1"/>
    </xf>
    <xf numFmtId="0" fontId="36" fillId="0" borderId="14" xfId="0" applyFont="1" applyBorder="1" applyNumberFormat="1">
      <alignment horizontal="center" vertical="center"/>
    </xf>
    <xf numFmtId="0" fontId="36" fillId="0" borderId="14" xfId="0" applyFont="1" applyBorder="1" applyNumberFormat="1">
      <alignment horizontal="center" vertical="center" wrapText="1"/>
    </xf>
    <xf numFmtId="0" fontId="36" fillId="0" borderId="12" xfId="0" applyFont="1" applyBorder="1" applyNumberFormat="1">
      <alignment horizontal="center" vertical="center" wrapText="1"/>
    </xf>
    <xf numFmtId="0" fontId="36" fillId="0" borderId="0" xfId="0" applyFont="1" applyNumberFormat="1">
      <alignment horizontal="center" vertical="center"/>
    </xf>
    <xf numFmtId="49" fontId="36" fillId="0" borderId="0" xfId="0" applyFont="1" applyNumberFormat="1">
      <alignment vertical="center" wrapText="1"/>
    </xf>
    <xf numFmtId="0" fontId="37" fillId="0" borderId="0" xfId="0" applyFont="1" applyNumberFormat="1">
      <alignment horizontal="center" vertical="center" wrapText="1"/>
    </xf>
    <xf numFmtId="0" fontId="24" fillId="0" borderId="0" xfId="0" applyFont="1" applyNumberFormat="1">
      <alignment horizontal="center" vertical="center" wrapText="1"/>
    </xf>
    <xf numFmtId="0" fontId="37" fillId="0" borderId="24" xfId="0" applyFont="1" applyBorder="1" applyNumberFormat="1">
      <alignment vertical="center" wrapText="1"/>
    </xf>
    <xf numFmtId="0" fontId="19" fillId="34" borderId="12" xfId="0" applyFont="1" applyFill="1" applyBorder="1" applyNumberFormat="1">
      <alignment horizontal="left" vertical="center" wrapText="1"/>
    </xf>
    <xf numFmtId="0" fontId="19" fillId="34" borderId="12" xfId="0" applyFont="1" applyFill="1" applyBorder="1" applyNumberFormat="1">
      <alignment horizontal="left" vertical="center" wrapText="1" indent="5"/>
    </xf>
    <xf numFmtId="0" fontId="19" fillId="0" borderId="12" xfId="0" applyFont="1" applyBorder="1" applyNumberFormat="1">
      <alignment horizontal="left" vertical="center" wrapText="1" indent="6"/>
    </xf>
    <xf numFmtId="0" fontId="34" fillId="0" borderId="12" xfId="0" applyFont="1" applyBorder="1" applyNumberFormat="1">
      <alignment vertical="top" wrapText="1"/>
    </xf>
    <xf numFmtId="0" fontId="37" fillId="0" borderId="0" xfId="0" applyFont="1" applyNumberFormat="1">
      <alignment vertical="center"/>
    </xf>
    <xf numFmtId="49" fontId="0" fillId="0" borderId="0" xfId="0" applyFont="1" applyNumberFormat="1">
      <alignment vertical="top"/>
    </xf>
    <xf numFmtId="0" fontId="19" fillId="39" borderId="12" xfId="0" applyFont="1" applyFill="1" applyBorder="1" applyNumberFormat="1">
      <alignment horizontal="left" vertical="center" wrapText="1" indent="6"/>
    </xf>
    <xf numFmtId="0" fontId="34" fillId="0" borderId="17" xfId="0" applyFont="1" applyBorder="1" applyNumberFormat="1">
      <alignment horizontal="left" vertical="top" wrapText="1"/>
    </xf>
    <xf numFmtId="49" fontId="0" fillId="0" borderId="0" xfId="0" applyFont="1" applyNumberFormat="1">
      <alignment vertical="top"/>
    </xf>
    <xf numFmtId="49" fontId="19" fillId="0" borderId="12" xfId="0" applyFont="1" applyBorder="1" applyNumberFormat="1">
      <alignment horizontal="left" vertical="center" wrapText="1"/>
    </xf>
    <xf numFmtId="0" fontId="34" fillId="0" borderId="36" xfId="0" applyFont="1" applyBorder="1" applyNumberFormat="1">
      <alignment horizontal="left" vertical="top" wrapText="1"/>
    </xf>
    <xf numFmtId="49" fontId="0" fillId="0" borderId="0" xfId="0" applyFont="1" applyNumberFormat="1">
      <alignment vertical="top"/>
    </xf>
    <xf numFmtId="0" fontId="37" fillId="0" borderId="24" xfId="0" applyFont="1" applyBorder="1" applyNumberFormat="1">
      <alignment horizontal="center" vertical="center" wrapText="1"/>
    </xf>
    <xf numFmtId="49" fontId="60" fillId="36" borderId="14" xfId="0" applyFont="1" applyFill="1" applyBorder="1" applyNumberFormat="1">
      <alignment horizontal="left" vertical="center"/>
    </xf>
    <xf numFmtId="49" fontId="29" fillId="36" borderId="15" xfId="0" applyFont="1" applyFill="1" applyBorder="1" applyNumberFormat="1">
      <alignment horizontal="left" vertical="center" indent="6"/>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3" xfId="0" applyFont="1" applyFill="1" applyBorder="1" applyNumberFormat="1">
      <alignment horizontal="center" vertical="center" wrapText="1"/>
    </xf>
    <xf numFmtId="0" fontId="34" fillId="0" borderId="23" xfId="0" applyFont="1" applyBorder="1" applyNumberFormat="1">
      <alignment horizontal="left" vertical="top"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60" fillId="36" borderId="14" xfId="0" applyFont="1" applyFill="1" applyBorder="1" applyNumberFormat="1">
      <alignment horizontal="left" vertical="center"/>
    </xf>
    <xf numFmtId="49" fontId="29" fillId="36" borderId="15" xfId="0" applyFont="1" applyFill="1" applyBorder="1" applyNumberFormat="1">
      <alignment horizontal="left" vertical="center" indent="6"/>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3"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0" fontId="19" fillId="0" borderId="0" xfId="0" applyFont="1" applyNumberFormat="1">
      <alignment horizontal="left" vertical="top" wrapText="1"/>
    </xf>
    <xf numFmtId="172" fontId="19" fillId="0" borderId="12" xfId="0" applyFont="1" applyBorder="1" applyNumberFormat="1">
      <alignment horizontal="right" vertical="center" wrapText="1"/>
    </xf>
    <xf numFmtId="0" fontId="0" fillId="34" borderId="19" xfId="0" applyFont="1" applyFill="1" applyBorder="1" applyNumberFormat="1">
      <alignment horizontal="center" vertical="center" wrapText="1"/>
    </xf>
    <xf numFmtId="0" fontId="37"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37" fillId="0" borderId="12" xfId="0" applyFont="1" applyBorder="1" applyNumberFormat="1">
      <alignment vertical="center" wrapText="1"/>
    </xf>
    <xf numFmtId="0" fontId="19" fillId="0" borderId="0" xfId="0" applyFont="1" applyNumberFormat="1">
      <alignment vertical="center"/>
    </xf>
    <xf numFmtId="0" fontId="37" fillId="0" borderId="23" xfId="0" applyFont="1" applyBorder="1" applyNumberFormat="1">
      <alignment horizontal="center" vertical="center" wrapText="1"/>
    </xf>
    <xf numFmtId="0" fontId="19" fillId="0" borderId="30" xfId="0" applyFont="1" applyBorder="1" applyNumberFormat="1">
      <alignment horizontal="center" vertical="center" wrapText="1"/>
    </xf>
    <xf numFmtId="0" fontId="37"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70" fillId="34" borderId="0" xfId="0" applyFont="1" applyFill="1" applyNumberFormat="1">
      <alignment horizontal="center" vertical="center" wrapText="1"/>
    </xf>
    <xf numFmtId="0" fontId="37" fillId="0" borderId="12" xfId="0" applyFont="1" applyBorder="1" applyNumberFormat="1">
      <alignment horizontal="left" vertical="center" wrapText="1"/>
    </xf>
    <xf numFmtId="0" fontId="37" fillId="0" borderId="12" xfId="0" applyFont="1" applyBorder="1" applyNumberFormat="1">
      <alignment horizontal="left" vertical="center" wrapText="1" indent="4"/>
    </xf>
    <xf numFmtId="0" fontId="37" fillId="0" borderId="12" xfId="0" applyFont="1" applyBorder="1" applyNumberFormat="1">
      <alignment horizontal="left" vertical="center" wrapText="1" indent="6"/>
    </xf>
    <xf numFmtId="0" fontId="37" fillId="0" borderId="14" xfId="0" applyFont="1" applyBorder="1" applyNumberFormat="1">
      <alignment horizontal="left" vertical="center" wrapText="1"/>
    </xf>
    <xf numFmtId="0" fontId="37" fillId="0" borderId="15" xfId="0" applyFont="1" applyBorder="1" applyNumberFormat="1">
      <alignment horizontal="left" vertical="center" wrapText="1"/>
    </xf>
    <xf numFmtId="0" fontId="37" fillId="0" borderId="13" xfId="0" applyFont="1" applyBorder="1" applyNumberFormat="1">
      <alignment horizontal="left" vertical="center" wrapText="1"/>
    </xf>
    <xf numFmtId="0" fontId="37" fillId="0" borderId="12" xfId="0" applyFont="1" applyBorder="1" applyNumberFormat="1">
      <alignment vertical="top" wrapText="1"/>
    </xf>
    <xf numFmtId="49" fontId="87" fillId="0" borderId="14" xfId="0" applyFont="1" applyBorder="1" applyNumberFormat="1">
      <alignment horizontal="left" vertical="center"/>
    </xf>
    <xf numFmtId="49" fontId="37" fillId="0" borderId="15" xfId="0" applyFont="1" applyBorder="1" applyNumberFormat="1">
      <alignment horizontal="left" vertical="center" indent="4"/>
    </xf>
    <xf numFmtId="49" fontId="37" fillId="0" borderId="15" xfId="0" applyFont="1" applyBorder="1" applyNumberFormat="1">
      <alignment horizontal="center" vertical="center" wrapText="1"/>
    </xf>
    <xf numFmtId="49" fontId="37" fillId="0" borderId="13" xfId="0" applyFont="1" applyBorder="1" applyNumberFormat="1">
      <alignment horizontal="center" vertical="center" wrapText="1"/>
    </xf>
    <xf numFmtId="49" fontId="37" fillId="0" borderId="0" xfId="0" applyFont="1" applyNumberFormat="1">
      <alignment vertical="center" wrapText="1"/>
    </xf>
    <xf numFmtId="0" fontId="0" fillId="0" borderId="0" xfId="0" applyFont="1" applyNumberFormat="1">
      <alignment horizontal="left" vertical="top" wrapText="1"/>
    </xf>
    <xf numFmtId="0" fontId="36" fillId="0" borderId="0" xfId="0" applyFont="1" applyNumberFormat="1">
      <alignment vertical="top" wrapText="1"/>
    </xf>
    <xf numFmtId="0" fontId="19" fillId="0" borderId="19" xfId="0" applyFont="1" applyBorder="1" applyNumberFormat="1">
      <alignment horizontal="left" vertical="center" wrapText="1" indent="1"/>
    </xf>
    <xf numFmtId="0" fontId="19" fillId="0" borderId="12" xfId="0" applyFont="1" applyBorder="1" applyNumberFormat="1">
      <alignment horizontal="center" vertical="center"/>
    </xf>
    <xf numFmtId="0" fontId="19" fillId="0" borderId="0" xfId="0" applyFont="1" applyNumberFormat="1">
      <alignment horizontal="center" vertical="center"/>
    </xf>
    <xf numFmtId="0" fontId="19" fillId="0" borderId="0" xfId="0" applyFont="1" applyNumberFormat="1">
      <alignment horizontal="left" vertical="center" wrapText="1"/>
    </xf>
    <xf numFmtId="0" fontId="19" fillId="0" borderId="14" xfId="0" applyFont="1" applyBorder="1" applyNumberFormat="1">
      <alignment horizontal="center" vertical="center"/>
    </xf>
    <xf numFmtId="0" fontId="19" fillId="39" borderId="20" xfId="0" applyFont="1" applyFill="1" applyBorder="1" applyNumberFormat="1">
      <alignment horizontal="left" vertical="center" wrapText="1"/>
    </xf>
    <xf numFmtId="0" fontId="19" fillId="0" borderId="0" xfId="0" applyFont="1" applyNumberFormat="1">
      <alignment horizontal="center" vertical="center" wrapText="1"/>
    </xf>
    <xf numFmtId="172" fontId="19" fillId="35" borderId="14" xfId="0" applyFont="1" applyFill="1" applyBorder="1" applyNumberFormat="1">
      <alignment horizontal="right" vertical="center" wrapText="1"/>
      <protection locked="0"/>
    </xf>
    <xf numFmtId="4" fontId="19" fillId="35" borderId="13" xfId="0" applyFont="1" applyFill="1" applyBorder="1" applyNumberFormat="1">
      <alignment horizontal="right" vertical="center" wrapText="1"/>
      <protection locked="0"/>
    </xf>
    <xf numFmtId="0" fontId="34" fillId="0" borderId="17" xfId="0" applyFont="1" applyBorder="1" applyNumberFormat="1">
      <alignment vertical="top" wrapText="1"/>
    </xf>
    <xf numFmtId="0" fontId="19" fillId="35" borderId="12" xfId="0" applyFont="1" applyFill="1" applyBorder="1" applyNumberFormat="1">
      <alignment horizontal="left" vertical="center" wrapText="1" indent="7"/>
      <protection locked="0"/>
    </xf>
    <xf numFmtId="49" fontId="0" fillId="38" borderId="12" xfId="0" applyFont="1" applyFill="1" applyBorder="1" applyNumberFormat="1">
      <alignment horizontal="center" vertical="center" wrapText="1"/>
      <protection locked="0"/>
    </xf>
    <xf numFmtId="4" fontId="37" fillId="0" borderId="14" xfId="0" applyFont="1" applyBorder="1" applyNumberFormat="1">
      <alignment horizontal="center" vertical="center" wrapText="1"/>
    </xf>
    <xf numFmtId="4" fontId="19" fillId="0" borderId="13" xfId="0" applyFont="1" applyBorder="1" applyNumberFormat="1">
      <alignment horizontal="right" vertical="center" wrapText="1"/>
    </xf>
    <xf numFmtId="0" fontId="19" fillId="36" borderId="15" xfId="0" applyFont="1" applyFill="1" applyBorder="1" applyNumberFormat="1">
      <alignment horizontal="left" vertical="center" wrapText="1" indent="6"/>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3" xfId="0" applyFont="1" applyFill="1" applyBorder="1" applyNumberFormat="1">
      <alignment horizontal="right" vertical="center" wrapText="1"/>
    </xf>
    <xf numFmtId="49" fontId="19" fillId="36" borderId="27" xfId="0" applyFont="1" applyFill="1" applyBorder="1" applyNumberFormat="1">
      <alignment horizontal="center" vertical="center" wrapText="1"/>
    </xf>
    <xf numFmtId="0" fontId="63" fillId="0" borderId="0" xfId="0" applyFont="1" applyNumberFormat="1">
      <alignment horizontal="left" vertical="center" indent="1"/>
    </xf>
    <xf numFmtId="0" fontId="63" fillId="0" borderId="0" xfId="0" applyFont="1" applyNumberFormat="1">
      <alignment horizontal="center" vertical="center"/>
    </xf>
    <xf numFmtId="0" fontId="63" fillId="0" borderId="0" xfId="0" applyFont="1" applyNumberFormat="1">
      <alignment horizontal="left" vertical="center" wrapText="1"/>
    </xf>
    <xf numFmtId="0" fontId="63" fillId="0" borderId="0" xfId="0" applyFont="1" applyNumberFormat="1">
      <alignment vertical="center" wrapText="1"/>
    </xf>
    <xf numFmtId="49" fontId="63" fillId="0" borderId="0" xfId="0" applyFont="1" applyNumberFormat="1">
      <alignment horizontal="left" vertical="center"/>
    </xf>
    <xf numFmtId="0" fontId="19" fillId="0" borderId="0" xfId="0" applyFont="1" applyNumberFormat="1">
      <alignment horizontal="center" vertical="center" wrapText="1"/>
    </xf>
    <xf numFmtId="49" fontId="19" fillId="0" borderId="12" xfId="0" applyFont="1" applyBorder="1" applyNumberFormat="1">
      <alignment vertical="center" wrapText="1"/>
    </xf>
    <xf numFmtId="0" fontId="19" fillId="0" borderId="0" xfId="0" applyFont="1" applyNumberFormat="1">
      <alignment vertical="center"/>
    </xf>
    <xf numFmtId="0" fontId="19" fillId="0" borderId="0" xfId="0" applyFont="1" applyNumberFormat="1">
      <alignment horizontal="center" vertical="center"/>
    </xf>
    <xf numFmtId="0" fontId="19" fillId="0" borderId="12" xfId="0" applyFont="1" applyBorder="1" applyNumberFormat="1">
      <alignment horizontal="center" vertical="center" wrapText="1"/>
    </xf>
    <xf numFmtId="0" fontId="19" fillId="0" borderId="19"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19" fillId="0" borderId="27" xfId="0" applyFont="1" applyBorder="1" applyNumberFormat="1">
      <alignment horizontal="center" vertical="center" wrapText="1"/>
    </xf>
    <xf numFmtId="0" fontId="19"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19" fillId="0" borderId="12" xfId="0" applyFont="1" applyBorder="1" applyNumberFormat="1">
      <alignment horizontal="center" vertical="center"/>
    </xf>
    <xf numFmtId="0" fontId="63" fillId="0" borderId="0" xfId="0" applyFont="1" applyNumberFormat="1">
      <alignment horizontal="left" vertical="center" indent="1"/>
    </xf>
    <xf numFmtId="0" fontId="19" fillId="0" borderId="14" xfId="0" applyFont="1" applyBorder="1" applyNumberFormat="1">
      <alignment horizontal="center" vertical="center"/>
    </xf>
    <xf numFmtId="0" fontId="63" fillId="0" borderId="0" xfId="0" applyFont="1" applyNumberFormat="1">
      <alignment horizontal="center" vertical="center"/>
    </xf>
    <xf numFmtId="49" fontId="36" fillId="0" borderId="0" xfId="0" applyFont="1" applyNumberFormat="1">
      <alignment vertical="center" wrapText="1"/>
    </xf>
    <xf numFmtId="0" fontId="36" fillId="0" borderId="0" xfId="0" applyFont="1" applyNumberFormat="1">
      <alignment horizontal="center" vertical="center" wrapText="1"/>
    </xf>
    <xf numFmtId="0" fontId="46" fillId="34" borderId="0" xfId="0" applyFont="1" applyFill="1" applyNumberFormat="1">
      <alignment horizontal="center" vertical="center" wrapText="1"/>
    </xf>
    <xf numFmtId="0" fontId="46" fillId="0" borderId="0" xfId="0" applyFont="1" applyNumberFormat="1">
      <alignment vertical="center" wrapText="1"/>
    </xf>
    <xf numFmtId="0" fontId="37" fillId="0" borderId="12" xfId="0" applyFont="1" applyBorder="1" applyNumberFormat="1">
      <alignment horizontal="left" vertical="center" wrapText="1" indent="5"/>
    </xf>
    <xf numFmtId="0" fontId="37" fillId="0" borderId="24" xfId="0" applyFont="1" applyBorder="1" applyNumberFormat="1">
      <alignment horizontal="center" vertical="top" wrapText="1"/>
    </xf>
    <xf numFmtId="0" fontId="19" fillId="34" borderId="17" xfId="0" applyFont="1" applyFill="1" applyBorder="1" applyNumberFormat="1">
      <alignment horizontal="left" vertical="center" wrapText="1"/>
    </xf>
    <xf numFmtId="49" fontId="19" fillId="38" borderId="17" xfId="0" applyFont="1" applyFill="1" applyBorder="1" applyNumberFormat="1">
      <alignment horizontal="left" vertical="center" wrapText="1" indent="6"/>
      <protection locked="0"/>
    </xf>
    <xf numFmtId="0" fontId="25" fillId="0" borderId="12" xfId="0" applyFont="1" applyBorder="1" applyNumberFormat="1">
      <alignment horizontal="center" vertical="center" wrapText="1"/>
    </xf>
    <xf numFmtId="49" fontId="19" fillId="39" borderId="12" xfId="0" applyFont="1" applyFill="1" applyBorder="1" applyNumberFormat="1">
      <alignment horizontal="left" vertical="center" wrapText="1" indent="1"/>
    </xf>
    <xf numFmtId="0" fontId="19" fillId="0" borderId="12" xfId="0" applyFont="1" applyBorder="1" applyNumberFormat="1">
      <alignment horizontal="left" vertical="center" wrapText="1" indent="4"/>
    </xf>
    <xf numFmtId="49" fontId="19" fillId="34" borderId="12" xfId="0" applyFont="1" applyFill="1" applyBorder="1" applyNumberFormat="1">
      <alignment horizontal="center" vertical="center" wrapText="1"/>
    </xf>
    <xf numFmtId="0" fontId="19" fillId="39" borderId="12" xfId="0" applyFont="1" applyFill="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49" fontId="19" fillId="39" borderId="12" xfId="0" applyFont="1" applyFill="1" applyBorder="1" applyNumberFormat="1">
      <alignment horizontal="center" vertical="center" wrapText="1"/>
    </xf>
    <xf numFmtId="0" fontId="19" fillId="34" borderId="36" xfId="0" applyFont="1" applyFill="1" applyBorder="1" applyNumberFormat="1">
      <alignment horizontal="left" vertical="center" wrapText="1"/>
    </xf>
    <xf numFmtId="49" fontId="19" fillId="38" borderId="36" xfId="0" applyFont="1" applyFill="1" applyBorder="1" applyNumberFormat="1">
      <alignment horizontal="left" vertical="center" wrapText="1" indent="6"/>
      <protection locked="0"/>
    </xf>
    <xf numFmtId="172" fontId="19" fillId="36" borderId="13" xfId="0" applyFont="1" applyFill="1" applyBorder="1" applyNumberFormat="1">
      <alignment horizontal="right" vertical="center" wrapText="1"/>
    </xf>
    <xf numFmtId="49" fontId="29" fillId="36" borderId="14" xfId="0" applyFont="1" applyFill="1" applyBorder="1" applyNumberFormat="1">
      <alignment horizontal="left" vertical="center"/>
    </xf>
    <xf numFmtId="172" fontId="19" fillId="36" borderId="15" xfId="0" applyFont="1" applyFill="1" applyBorder="1" applyNumberFormat="1">
      <alignment horizontal="right" vertical="center" wrapText="1"/>
    </xf>
    <xf numFmtId="4" fontId="19" fillId="0" borderId="36" xfId="0" applyFont="1" applyBorder="1" applyNumberFormat="1">
      <alignment horizontal="right" vertical="center" wrapText="1"/>
    </xf>
    <xf numFmtId="49" fontId="29" fillId="36" borderId="14" xfId="0" applyFont="1" applyFill="1" applyBorder="1" applyNumberFormat="1">
      <alignment horizontal="left" vertical="center" indent="1"/>
    </xf>
    <xf numFmtId="0" fontId="19" fillId="34" borderId="23" xfId="0" applyFont="1" applyFill="1" applyBorder="1" applyNumberFormat="1">
      <alignment horizontal="left" vertical="center" wrapText="1"/>
    </xf>
    <xf numFmtId="49" fontId="19" fillId="38" borderId="23" xfId="0" applyFont="1" applyFill="1" applyBorder="1" applyNumberFormat="1">
      <alignment horizontal="left" vertical="center" wrapText="1" indent="6"/>
      <protection locked="0"/>
    </xf>
    <xf numFmtId="4" fontId="37" fillId="36" borderId="13" xfId="0" applyFont="1" applyFill="1" applyBorder="1" applyNumberFormat="1">
      <alignment horizontal="center" vertical="center" wrapText="1"/>
    </xf>
    <xf numFmtId="49" fontId="29" fillId="36" borderId="14" xfId="0" applyFont="1" applyFill="1" applyBorder="1" applyNumberFormat="1">
      <alignment vertical="center" wrapText="1"/>
    </xf>
    <xf numFmtId="49" fontId="29" fillId="36" borderId="15" xfId="0" applyFont="1" applyFill="1" applyBorder="1" applyNumberFormat="1">
      <alignment vertical="center" wrapText="1"/>
    </xf>
    <xf numFmtId="49" fontId="37" fillId="0" borderId="24" xfId="0" applyFont="1" applyBorder="1" applyNumberFormat="1">
      <alignment vertical="top"/>
    </xf>
    <xf numFmtId="0" fontId="101" fillId="0" borderId="0" xfId="0" applyFont="1" applyNumberFormat="1">
      <alignment horizontal="center" vertical="center" wrapText="1"/>
    </xf>
    <xf numFmtId="49" fontId="37" fillId="0" borderId="0" xfId="0" applyFont="1" applyNumberFormat="1">
      <alignment horizontal="center" vertical="center" wrapText="1"/>
    </xf>
    <xf numFmtId="49" fontId="37" fillId="0" borderId="0" xfId="0" applyFont="1" applyNumberFormat="1">
      <alignment horizontal="left" vertical="center" wrapText="1" indent="1"/>
    </xf>
    <xf numFmtId="0" fontId="37" fillId="0" borderId="0" xfId="0" applyFont="1" applyNumberFormat="1">
      <alignment horizontal="left" vertical="center" wrapText="1" indent="4"/>
    </xf>
    <xf numFmtId="0" fontId="37" fillId="0" borderId="24" xfId="0" applyFont="1" applyBorder="1" applyNumberFormat="1">
      <alignment horizontal="left" vertical="center" wrapText="1" indent="1"/>
    </xf>
    <xf numFmtId="4" fontId="37" fillId="0" borderId="12" xfId="0" applyFont="1" applyBorder="1" applyNumberFormat="1">
      <alignment horizontal="right" vertical="center" wrapText="1"/>
    </xf>
    <xf numFmtId="172" fontId="37" fillId="0" borderId="12" xfId="0" applyFont="1" applyBorder="1" applyNumberFormat="1">
      <alignment horizontal="right" vertical="center" wrapText="1"/>
    </xf>
    <xf numFmtId="174" fontId="37"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0" fontId="36" fillId="0" borderId="0" xfId="0" applyFont="1" applyNumberFormat="1">
      <alignment horizontal="left" vertical="center"/>
    </xf>
    <xf numFmtId="49" fontId="36" fillId="0" borderId="0" xfId="0" applyFont="1" applyNumberFormat="1">
      <alignment horizontal="left" vertical="center"/>
    </xf>
    <xf numFmtId="0" fontId="36" fillId="0" borderId="0" xfId="0" applyFont="1" applyNumberFormat="1">
      <alignment horizontal="left" vertical="center"/>
    </xf>
    <xf numFmtId="0" fontId="59" fillId="0" borderId="0" xfId="0" applyFont="1" applyNumberFormat="1">
      <alignment horizontal="left" vertical="center"/>
    </xf>
    <xf numFmtId="0" fontId="37" fillId="0" borderId="0" xfId="0" applyFont="1" applyNumberFormat="1">
      <alignment horizontal="left" vertical="center"/>
    </xf>
    <xf numFmtId="0" fontId="59" fillId="34" borderId="0" xfId="0" applyFont="1" applyFill="1" applyNumberFormat="1">
      <alignment vertical="center" wrapText="1"/>
    </xf>
    <xf numFmtId="0" fontId="19" fillId="34" borderId="3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0" fillId="34" borderId="20"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0" fillId="34" borderId="22" xfId="0" applyFont="1" applyFill="1" applyBorder="1" applyNumberFormat="1">
      <alignment horizontal="center" vertical="center" wrapText="1"/>
    </xf>
    <xf numFmtId="0" fontId="0" fillId="34" borderId="0" xfId="0" applyFont="1" applyFill="1" applyNumberFormat="1">
      <alignment horizontal="center" vertical="center" wrapText="1"/>
    </xf>
    <xf numFmtId="0" fontId="0" fillId="34" borderId="24" xfId="0" applyFont="1" applyFill="1" applyBorder="1" applyNumberFormat="1">
      <alignment horizontal="center" vertical="center" wrapText="1"/>
    </xf>
    <xf numFmtId="0" fontId="19" fillId="38" borderId="12" xfId="0" applyFont="1" applyFill="1" applyBorder="1" applyNumberFormat="1">
      <alignment horizontal="center" vertical="center" wrapText="1"/>
      <protection locked="0"/>
    </xf>
    <xf numFmtId="0" fontId="19" fillId="34" borderId="12"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0" fillId="34" borderId="30" xfId="0" applyFont="1" applyFill="1" applyBorder="1" applyNumberFormat="1">
      <alignment horizontal="center" vertical="center" wrapText="1"/>
    </xf>
    <xf numFmtId="0" fontId="0" fillId="34" borderId="27" xfId="0" applyFont="1" applyFill="1" applyBorder="1" applyNumberFormat="1">
      <alignment horizontal="center" vertical="center" wrapText="1"/>
    </xf>
    <xf numFmtId="0" fontId="0" fillId="34" borderId="29" xfId="0" applyFont="1" applyFill="1" applyBorder="1" applyNumberFormat="1">
      <alignment horizontal="center" vertical="center" wrapText="1"/>
    </xf>
    <xf numFmtId="0" fontId="19" fillId="34" borderId="23" xfId="0" applyFont="1" applyFill="1" applyBorder="1" applyNumberFormat="1">
      <alignment horizontal="center" vertical="center" wrapText="1"/>
    </xf>
    <xf numFmtId="49" fontId="19" fillId="0" borderId="12" xfId="0" applyFont="1" applyBorder="1" applyNumberFormat="1">
      <alignment horizontal="left" vertical="center" wrapText="1" indent="1"/>
    </xf>
    <xf numFmtId="0" fontId="19" fillId="0" borderId="12" xfId="0" applyFont="1" applyBorder="1" applyNumberFormat="1">
      <alignment horizontal="left" vertical="center" wrapText="1" indent="1"/>
    </xf>
    <xf numFmtId="49" fontId="19" fillId="36" borderId="14" xfId="0" applyFont="1" applyFill="1" applyBorder="1" applyNumberFormat="1">
      <alignment horizontal="center" vertical="center" wrapText="1"/>
    </xf>
    <xf numFmtId="49" fontId="63" fillId="0" borderId="24" xfId="0" applyFont="1" applyBorder="1" applyNumberFormat="1">
      <alignment vertical="top"/>
    </xf>
    <xf numFmtId="0" fontId="19" fillId="0" borderId="0" xfId="0" applyFont="1" applyNumberFormat="1">
      <alignment horizontal="left" vertical="top"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0" fontId="19" fillId="35" borderId="14" xfId="0" applyFont="1" applyFill="1" applyBorder="1" applyNumberFormat="1">
      <alignment horizontal="left" vertical="center" wrapText="1"/>
      <protection locked="0"/>
    </xf>
    <xf numFmtId="0" fontId="19" fillId="35" borderId="15" xfId="0" applyFont="1" applyFill="1" applyBorder="1" applyNumberFormat="1">
      <alignment horizontal="left" vertical="center" wrapText="1"/>
      <protection locked="0"/>
    </xf>
    <xf numFmtId="0" fontId="19" fillId="35" borderId="13" xfId="0" applyFont="1" applyFill="1" applyBorder="1" applyNumberFormat="1">
      <alignment horizontal="left" vertical="center" wrapText="1"/>
      <protection locked="0"/>
    </xf>
    <xf numFmtId="49" fontId="19" fillId="35" borderId="14" xfId="0" applyFont="1" applyFill="1" applyBorder="1" applyNumberFormat="1">
      <alignment horizontal="left" vertical="center" wrapText="1"/>
      <protection locked="0"/>
    </xf>
    <xf numFmtId="49" fontId="19" fillId="35" borderId="15" xfId="0" applyFont="1" applyFill="1" applyBorder="1" applyNumberFormat="1">
      <alignment horizontal="left" vertical="center" wrapText="1"/>
      <protection locked="0"/>
    </xf>
    <xf numFmtId="49" fontId="19" fillId="35" borderId="13"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indent="6"/>
      <protection locked="0"/>
    </xf>
    <xf numFmtId="4" fontId="19" fillId="0" borderId="37" xfId="0" applyFont="1" applyBorder="1" applyNumberFormat="1">
      <alignment horizontal="right" vertical="center" wrapText="1"/>
    </xf>
    <xf numFmtId="0" fontId="34" fillId="0" borderId="12" xfId="0" applyFont="1" applyBorder="1" applyNumberFormat="1">
      <alignment horizontal="left" vertical="top" wrapText="1"/>
    </xf>
    <xf numFmtId="49" fontId="19" fillId="0" borderId="12" xfId="0" applyFont="1" applyBorder="1" applyNumberFormat="1">
      <alignment horizontal="left" vertical="center" wrapText="1"/>
    </xf>
    <xf numFmtId="4" fontId="19"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49" fontId="29" fillId="36" borderId="15" xfId="0" applyFont="1" applyFill="1" applyBorder="1" applyNumberFormat="1">
      <alignment horizontal="left" vertical="center" indent="3"/>
    </xf>
    <xf numFmtId="0" fontId="37" fillId="0" borderId="0" xfId="0" applyFont="1" applyNumberFormat="1">
      <alignment horizontal="center" vertical="center"/>
    </xf>
    <xf numFmtId="0" fontId="36" fillId="0" borderId="0" xfId="0" applyFont="1" applyNumberFormat="1">
      <alignment horizontal="center" vertical="center" wrapText="1"/>
    </xf>
    <xf numFmtId="0" fontId="100" fillId="0" borderId="0" xfId="0" applyFont="1" applyNumberFormat="1">
      <alignment vertical="center" wrapText="1"/>
    </xf>
    <xf numFmtId="0" fontId="19" fillId="0" borderId="0" xfId="0" applyFont="1" applyNumberFormat="1">
      <alignment horizontal="right" vertical="center" wrapText="1"/>
    </xf>
    <xf numFmtId="0" fontId="19"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49" fontId="19" fillId="0" borderId="0" xfId="0" applyFont="1" applyNumberFormat="1">
      <alignment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37" fillId="0" borderId="0" xfId="0" applyFont="1" applyNumberFormat="1">
      <alignment horizontal="center" vertical="center"/>
    </xf>
    <xf numFmtId="0" fontId="36" fillId="0" borderId="0" xfId="0" applyFont="1" applyNumberFormat="1">
      <alignment horizontal="center" vertical="center" wrapText="1"/>
    </xf>
    <xf numFmtId="0" fontId="19" fillId="0" borderId="0" xfId="0" applyFont="1" applyNumberFormat="1">
      <alignment horizontal="right" vertical="center" wrapText="1"/>
    </xf>
    <xf numFmtId="0" fontId="19"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49" fontId="19" fillId="0" borderId="0" xfId="0" applyFont="1" applyNumberFormat="1">
      <alignment vertical="center" wrapText="1"/>
    </xf>
    <xf numFmtId="0" fontId="19" fillId="34" borderId="12" xfId="0" applyFont="1" applyFill="1" applyBorder="1" applyNumberFormat="1">
      <alignment horizontal="left" vertical="center" wrapText="1"/>
    </xf>
    <xf numFmtId="0" fontId="101" fillId="0" borderId="0" xfId="0" applyFont="1" applyNumberFormat="1">
      <alignment vertical="center" wrapText="1"/>
    </xf>
    <xf numFmtId="0" fontId="101" fillId="34" borderId="0" xfId="0" applyFont="1" applyFill="1" applyNumberFormat="1">
      <alignment horizontal="center" vertical="center" wrapText="1"/>
    </xf>
    <xf numFmtId="0" fontId="37" fillId="34" borderId="12" xfId="0" applyFont="1" applyFill="1" applyBorder="1" applyNumberFormat="1">
      <alignment horizontal="left" vertical="center" wrapText="1" indent="3"/>
    </xf>
    <xf numFmtId="0" fontId="37" fillId="0" borderId="0" xfId="0" applyFont="1" applyNumberFormat="1">
      <alignment horizontal="center" vertical="center" wrapText="1"/>
    </xf>
    <xf numFmtId="49" fontId="19" fillId="35" borderId="17" xfId="0" applyFont="1" applyFill="1" applyBorder="1" applyNumberFormat="1">
      <alignment horizontal="left" vertical="center" wrapText="1" indent="6"/>
      <protection locked="0"/>
    </xf>
    <xf numFmtId="4" fontId="19" fillId="38" borderId="12" xfId="0" applyFont="1" applyFill="1" applyBorder="1" applyNumberFormat="1">
      <alignment horizontal="left" vertical="center" wrapText="1" indent="1"/>
      <protection locked="0"/>
    </xf>
    <xf numFmtId="49" fontId="19" fillId="39" borderId="12" xfId="0" applyFont="1" applyFill="1" applyBorder="1" applyNumberFormat="1">
      <alignment horizontal="left" vertical="center" wrapText="1" indent="1"/>
      <protection locked="0"/>
    </xf>
    <xf numFmtId="4" fontId="19" fillId="38" borderId="12" xfId="0" applyFont="1" applyFill="1" applyBorder="1" applyNumberFormat="1">
      <alignment horizontal="center" vertical="center" wrapText="1"/>
      <protection locked="0"/>
    </xf>
    <xf numFmtId="49" fontId="19" fillId="39" borderId="20"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49" fontId="19" fillId="35" borderId="36" xfId="0" applyFont="1" applyFill="1" applyBorder="1" applyNumberFormat="1">
      <alignment horizontal="left" vertical="center" wrapText="1" indent="6"/>
      <protection locked="0"/>
    </xf>
    <xf numFmtId="49" fontId="19" fillId="39" borderId="29" xfId="0" applyFont="1" applyFill="1" applyBorder="1" applyNumberFormat="1">
      <alignment horizontal="center" vertical="center" wrapText="1"/>
    </xf>
    <xf numFmtId="49" fontId="29" fillId="36" borderId="27" xfId="0" applyFont="1" applyFill="1" applyBorder="1" applyNumberFormat="1">
      <alignment horizontal="left" vertical="center"/>
    </xf>
    <xf numFmtId="49" fontId="19" fillId="35" borderId="23" xfId="0" applyFont="1" applyFill="1" applyBorder="1" applyNumberFormat="1">
      <alignment horizontal="left" vertical="center" wrapText="1" indent="6"/>
      <protection locked="0"/>
    </xf>
    <xf numFmtId="0" fontId="37" fillId="0" borderId="0" xfId="0" applyFont="1" applyNumberFormat="1">
      <alignment horizontal="center" vertical="center"/>
    </xf>
    <xf numFmtId="0" fontId="37" fillId="0" borderId="0" xfId="0" applyFont="1" applyNumberFormat="1">
      <alignment horizontal="left" vertical="center" wrapText="1" indent="1"/>
    </xf>
    <xf numFmtId="0" fontId="19" fillId="34" borderId="12" xfId="0" applyFont="1" applyFill="1" applyBorder="1" applyNumberFormat="1">
      <alignment horizontal="center" vertical="center" wrapText="1"/>
    </xf>
    <xf numFmtId="0" fontId="37" fillId="0" borderId="19" xfId="0" applyFont="1" applyBorder="1" applyNumberFormat="1">
      <alignment horizontal="left" vertical="center" wrapText="1"/>
    </xf>
    <xf numFmtId="0" fontId="19" fillId="0" borderId="0" xfId="0" applyFont="1" applyNumberFormat="1">
      <alignment horizontal="left" vertical="top" wrapText="1"/>
    </xf>
    <xf numFmtId="0" fontId="36" fillId="0" borderId="0" xfId="0" applyFont="1" applyNumberFormat="1">
      <alignment horizontal="center"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37" fillId="0" borderId="0" xfId="0" applyFont="1" applyNumberFormat="1">
      <alignment horizontal="center" vertical="center"/>
    </xf>
    <xf numFmtId="0" fontId="36" fillId="0" borderId="0" xfId="0" applyFont="1" applyNumberFormat="1">
      <alignment horizontal="center" vertical="center" wrapText="1"/>
    </xf>
    <xf numFmtId="0" fontId="19" fillId="0" borderId="0" xfId="0" applyFont="1" applyNumberFormat="1">
      <alignment horizontal="right" vertical="center" wrapText="1"/>
    </xf>
    <xf numFmtId="0" fontId="19"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49" fontId="19" fillId="0" borderId="0" xfId="0" applyFont="1" applyNumberFormat="1">
      <alignment vertical="center" wrapText="1"/>
    </xf>
    <xf numFmtId="49" fontId="19" fillId="39"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49" fontId="37" fillId="0" borderId="12" xfId="0" applyFont="1" applyBorder="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49" fontId="37" fillId="0" borderId="0" xfId="0" applyFont="1" applyNumberFormat="1">
      <alignment horizontal="center" vertical="center" wrapText="1"/>
    </xf>
    <xf numFmtId="49" fontId="19" fillId="0" borderId="0" xfId="0" applyFont="1" applyNumberFormat="1">
      <alignment horizontal="center" vertical="center" wrapText="1"/>
    </xf>
    <xf numFmtId="0" fontId="19" fillId="0" borderId="28" xfId="0" applyFont="1" applyBorder="1" applyNumberFormat="1">
      <alignment horizontal="center" vertical="center" wrapText="1"/>
    </xf>
    <xf numFmtId="0" fontId="19" fillId="38" borderId="12" xfId="0" applyFont="1" applyFill="1" applyBorder="1" applyNumberFormat="1">
      <alignment horizontal="left" vertical="center" wrapText="1" indent="2"/>
      <protection locked="0"/>
    </xf>
    <xf numFmtId="0" fontId="19" fillId="0" borderId="12" xfId="0" applyFont="1" applyBorder="1" applyNumberFormat="1">
      <alignment horizontal="center" vertical="center" wrapText="1"/>
    </xf>
    <xf numFmtId="0" fontId="19" fillId="0" borderId="12" xfId="0" applyFont="1" applyBorder="1" applyNumberFormat="1">
      <alignment vertical="center" wrapText="1"/>
    </xf>
    <xf numFmtId="0" fontId="74" fillId="0" borderId="0" xfId="0" applyFont="1" applyNumberFormat="1">
      <alignment vertical="center" wrapText="1"/>
    </xf>
    <xf numFmtId="0" fontId="37" fillId="0" borderId="0" xfId="0" applyFont="1" applyNumberFormat="1">
      <alignment vertical="center" wrapText="1"/>
    </xf>
    <xf numFmtId="0" fontId="37" fillId="0" borderId="28" xfId="0" applyFont="1" applyBorder="1" applyNumberFormat="1">
      <alignment horizontal="center" vertical="center" wrapText="1"/>
    </xf>
    <xf numFmtId="0" fontId="37" fillId="0" borderId="12" xfId="0" applyFont="1" applyBorder="1" applyNumberFormat="1">
      <alignment horizontal="left" vertical="center" wrapText="1" indent="2"/>
    </xf>
    <xf numFmtId="0" fontId="37" fillId="0" borderId="12" xfId="0" applyFont="1" applyBorder="1" applyNumberFormat="1">
      <alignment horizontal="center" vertical="center" wrapText="1"/>
    </xf>
    <xf numFmtId="0" fontId="37" fillId="0" borderId="12" xfId="0" applyFont="1" applyBorder="1" applyNumberFormat="1">
      <alignment vertical="center" wrapText="1"/>
    </xf>
    <xf numFmtId="0" fontId="19" fillId="0" borderId="12" xfId="0" applyFont="1" applyBorder="1" applyNumberFormat="1">
      <alignment horizontal="left" vertical="center" wrapText="1" indent="3"/>
    </xf>
    <xf numFmtId="49" fontId="19" fillId="38" borderId="12" xfId="0" applyFont="1" applyFill="1" applyBorder="1" applyNumberFormat="1">
      <alignment horizontal="center" vertical="center" wrapText="1"/>
      <protection locked="0"/>
    </xf>
    <xf numFmtId="4" fontId="19" fillId="35" borderId="12" xfId="0" applyFont="1" applyFill="1" applyBorder="1" applyNumberFormat="1">
      <alignment horizontal="right" vertical="center" wrapText="1"/>
      <protection locked="0"/>
    </xf>
    <xf numFmtId="0" fontId="19" fillId="35" borderId="12" xfId="0" applyFont="1" applyFill="1" applyBorder="1" applyNumberFormat="1">
      <alignment horizontal="left" vertical="center" wrapText="1"/>
      <protection locked="0"/>
    </xf>
    <xf numFmtId="49" fontId="81" fillId="0" borderId="0" xfId="0" applyFont="1" applyNumberFormat="1">
      <alignment horizontal="center" vertical="center" wrapText="1"/>
    </xf>
    <xf numFmtId="49" fontId="19" fillId="0" borderId="0" xfId="0" applyFont="1" applyNumberFormat="1">
      <alignment horizontal="center" vertical="top" wrapText="1"/>
    </xf>
    <xf numFmtId="0" fontId="19" fillId="0" borderId="12" xfId="0" applyFont="1" applyBorder="1" applyNumberFormat="1">
      <alignment horizontal="center" vertical="center" wrapText="1"/>
    </xf>
    <xf numFmtId="0" fontId="19" fillId="0" borderId="13" xfId="0" applyFont="1" applyBorder="1" applyNumberFormat="1">
      <alignment vertical="top" wrapText="1"/>
    </xf>
    <xf numFmtId="0" fontId="44" fillId="0" borderId="0" xfId="0" applyFont="1" applyNumberFormat="1">
      <alignment vertical="center" wrapText="1"/>
    </xf>
    <xf numFmtId="0" fontId="19" fillId="0" borderId="13" xfId="0" applyFont="1" applyBorder="1" applyNumberFormat="1">
      <alignment horizontal="center" vertical="center" wrapText="1"/>
    </xf>
    <xf numFmtId="173" fontId="19" fillId="35" borderId="12" xfId="0" applyFont="1" applyFill="1" applyBorder="1" applyNumberFormat="1">
      <alignment horizontal="right" vertical="center" wrapText="1"/>
      <protection locked="0"/>
    </xf>
    <xf numFmtId="0" fontId="19" fillId="0" borderId="20" xfId="0" applyFont="1" applyBorder="1" applyNumberFormat="1">
      <alignment vertical="center" wrapText="1"/>
    </xf>
    <xf numFmtId="0" fontId="20" fillId="0" borderId="0" xfId="0" applyFont="1" applyNumberFormat="1">
      <alignment vertical="center" wrapText="1"/>
    </xf>
    <xf numFmtId="0" fontId="35" fillId="0" borderId="0" xfId="0" applyFont="1" applyNumberFormat="1">
      <alignment vertical="center" wrapText="1"/>
    </xf>
    <xf numFmtId="0" fontId="19" fillId="0" borderId="0" xfId="0" applyFont="1" applyNumberFormat="1">
      <alignment horizontal="left" vertical="center" wrapText="1" indent="3"/>
    </xf>
    <xf numFmtId="0" fontId="37" fillId="0" borderId="0" xfId="0" applyFont="1" applyNumberFormat="1">
      <alignment vertical="center" wrapText="1"/>
    </xf>
    <xf numFmtId="0" fontId="87" fillId="34" borderId="0" xfId="0" applyFont="1" applyFill="1" applyNumberFormat="1">
      <alignment horizontal="right" vertical="center"/>
    </xf>
    <xf numFmtId="0" fontId="19" fillId="0" borderId="14" xfId="0" applyFont="1" applyBorder="1" applyNumberFormat="1">
      <alignment vertical="center" wrapTex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33" borderId="14" xfId="0" applyFont="1" applyFill="1" applyBorder="1" applyNumberFormat="1">
      <alignment horizontal="left" vertical="top" wrapText="1"/>
    </xf>
    <xf numFmtId="0" fontId="19" fillId="0" borderId="14" xfId="0" applyFont="1" applyBorder="1" applyNumberFormat="1">
      <alignment horizontal="right" vertical="center" wrapText="1"/>
    </xf>
    <xf numFmtId="0" fontId="19" fillId="0" borderId="15" xfId="0" applyFont="1" applyBorder="1" applyNumberFormat="1">
      <alignment horizontal="right"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left" vertical="center" wrapText="1"/>
    </xf>
    <xf numFmtId="0" fontId="19" fillId="0" borderId="12" xfId="0" applyFont="1" applyBorder="1" applyNumberFormat="1">
      <alignment horizontal="center" vertical="center" wrapText="1"/>
    </xf>
    <xf numFmtId="4" fontId="19" fillId="38" borderId="12" xfId="0" applyFont="1" applyFill="1" applyBorder="1" applyNumberFormat="1">
      <alignment horizontal="right" vertical="center" wrapText="1"/>
      <protection locked="0"/>
    </xf>
    <xf numFmtId="4" fontId="19" fillId="33" borderId="12" xfId="0" applyFont="1" applyFill="1" applyBorder="1" applyNumberFormat="1">
      <alignment horizontal="right" vertical="center" wrapText="1"/>
    </xf>
    <xf numFmtId="0" fontId="19" fillId="0" borderId="12" xfId="0" applyFont="1" applyBorder="1" applyNumberFormat="1">
      <alignment horizontal="left" vertical="center" wrapText="1" indent="1"/>
    </xf>
    <xf numFmtId="49" fontId="81" fillId="45" borderId="0" xfId="0" applyFont="1" applyFill="1" applyNumberFormat="1">
      <alignment horizontal="center" vertical="center" textRotation="90" wrapText="1"/>
    </xf>
    <xf numFmtId="0" fontId="63" fillId="0" borderId="0" xfId="0" applyFont="1" applyNumberFormat="1">
      <alignment vertical="center" wrapText="1"/>
    </xf>
    <xf numFmtId="0" fontId="63" fillId="0" borderId="0" xfId="0" applyFont="1" applyNumberFormat="1">
      <alignment horizontal="center" vertical="center" wrapText="1"/>
    </xf>
    <xf numFmtId="49" fontId="63" fillId="0" borderId="0" xfId="0" applyFont="1" applyNumberFormat="1">
      <alignment horizontal="center" vertical="center" wrapText="1"/>
    </xf>
    <xf numFmtId="49" fontId="63" fillId="0" borderId="28" xfId="0" applyFont="1" applyBorder="1" applyNumberFormat="1">
      <alignment horizontal="center" vertical="center" wrapText="1"/>
    </xf>
    <xf numFmtId="0" fontId="63" fillId="0" borderId="12" xfId="0" applyFont="1" applyBorder="1" applyNumberFormat="1">
      <alignment horizontal="left" vertical="center" wrapText="1" indent="2"/>
    </xf>
    <xf numFmtId="0" fontId="63" fillId="0" borderId="12" xfId="0" applyFont="1" applyBorder="1" applyNumberFormat="1">
      <alignment horizontal="center" vertical="center" wrapText="1"/>
    </xf>
    <xf numFmtId="0" fontId="63" fillId="0" borderId="12" xfId="0" applyFont="1" applyBorder="1" applyNumberFormat="1">
      <alignment vertical="center" wrapText="1"/>
    </xf>
    <xf numFmtId="0" fontId="75" fillId="0" borderId="0" xfId="0" applyFont="1" applyNumberFormat="1">
      <alignment vertical="center" wrapText="1"/>
    </xf>
    <xf numFmtId="0" fontId="53" fillId="0" borderId="0" xfId="0" applyFont="1" applyNumberFormat="1">
      <alignment vertical="center" wrapText="1"/>
    </xf>
    <xf numFmtId="0" fontId="63" fillId="0" borderId="28" xfId="0" applyFont="1" applyBorder="1" applyNumberFormat="1">
      <alignment horizontal="center" vertical="center" wrapText="1"/>
    </xf>
    <xf numFmtId="0" fontId="63" fillId="0" borderId="12" xfId="0" applyFont="1" applyBorder="1" applyNumberFormat="1">
      <alignment horizontal="left" vertical="center" wrapText="1" indent="3"/>
    </xf>
    <xf numFmtId="4" fontId="63" fillId="0" borderId="12" xfId="0" applyFont="1" applyBorder="1" applyNumberFormat="1">
      <alignment horizontal="right" vertical="center" wrapText="1"/>
    </xf>
    <xf numFmtId="0" fontId="25" fillId="0" borderId="0" xfId="0" applyFont="1" applyNumberFormat="1">
      <alignment horizontal="center" vertical="center" wrapText="1"/>
    </xf>
    <xf numFmtId="49" fontId="19" fillId="36" borderId="14" xfId="0" applyFont="1" applyFill="1" applyBorder="1" applyNumberFormat="1">
      <alignment vertical="center" wrapTex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0" fontId="19" fillId="0" borderId="12" xfId="0" applyFont="1" applyBorder="1" applyNumberFormat="1">
      <alignment horizontal="left" vertical="center" wrapText="1" indent="2"/>
    </xf>
    <xf numFmtId="14" fontId="19" fillId="0" borderId="0" xfId="0" applyFont="1" applyNumberFormat="1">
      <alignment horizontal="center" vertical="center" wrapText="1"/>
    </xf>
    <xf numFmtId="49" fontId="81" fillId="45" borderId="0" xfId="0" applyFont="1" applyFill="1" applyNumberFormat="1">
      <alignment horizontal="center" vertical="center" wrapText="1"/>
    </xf>
    <xf numFmtId="49" fontId="39" fillId="0" borderId="0" xfId="0" applyFont="1" applyNumberFormat="1">
      <alignment horizontal="center" vertical="center"/>
    </xf>
    <xf numFmtId="173" fontId="19" fillId="38" borderId="12" xfId="0" applyFont="1" applyFill="1" applyBorder="1" applyNumberFormat="1">
      <alignment horizontal="right" vertical="center" wrapText="1"/>
      <protection locked="0"/>
    </xf>
    <xf numFmtId="49" fontId="81" fillId="0" borderId="0" xfId="0" applyFont="1" applyNumberFormat="1">
      <alignment horizontal="left" vertical="center" wrapText="1"/>
    </xf>
    <xf numFmtId="0" fontId="37" fillId="0" borderId="0" xfId="0" applyFont="1" applyNumberFormat="1">
      <alignment horizontal="left" vertical="center" wrapText="1"/>
    </xf>
    <xf numFmtId="49" fontId="19" fillId="0" borderId="0" xfId="0" applyFont="1" applyNumberFormat="1">
      <alignment horizontal="left" vertical="center" wrapText="1"/>
    </xf>
    <xf numFmtId="0" fontId="44" fillId="0" borderId="0" xfId="0" applyFont="1" applyNumberFormat="1">
      <alignment horizontal="left" vertical="center" wrapText="1"/>
    </xf>
    <xf numFmtId="0" fontId="20" fillId="0" borderId="0" xfId="0" applyFont="1" applyNumberFormat="1">
      <alignment horizontal="left" vertical="center" wrapText="1"/>
    </xf>
    <xf numFmtId="49" fontId="19" fillId="39" borderId="12" xfId="0" applyFont="1" applyFill="1" applyBorder="1" applyNumberFormat="1">
      <alignment horizontal="left" vertical="center" wrapText="1"/>
    </xf>
    <xf numFmtId="0" fontId="19" fillId="0" borderId="17" xfId="0" applyFont="1" applyBorder="1" applyNumberFormat="1">
      <alignment horizontal="center" vertical="center" wrapText="1"/>
    </xf>
    <xf numFmtId="4" fontId="19" fillId="33" borderId="17" xfId="0" applyFont="1" applyFill="1" applyBorder="1" applyNumberFormat="1">
      <alignment horizontal="right" vertical="center" wrapText="1"/>
    </xf>
    <xf numFmtId="0" fontId="37" fillId="0" borderId="12" xfId="0" applyFont="1" applyBorder="1" applyNumberFormat="1">
      <alignment horizontal="left" vertical="center" wrapText="1" indent="3"/>
    </xf>
    <xf numFmtId="49" fontId="37" fillId="0" borderId="12" xfId="0" applyFont="1" applyBorder="1" applyNumberFormat="1">
      <alignment vertical="center" wrapText="1"/>
    </xf>
    <xf numFmtId="0" fontId="37" fillId="0" borderId="17" xfId="0" applyFont="1" applyBorder="1" applyNumberFormat="1">
      <alignment vertical="top" wrapText="1"/>
    </xf>
    <xf numFmtId="4" fontId="19" fillId="38" borderId="13" xfId="0" applyFont="1" applyFill="1" applyBorder="1" applyNumberFormat="1">
      <alignment horizontal="right" vertical="center" wrapText="1"/>
      <protection locked="0"/>
    </xf>
    <xf numFmtId="49" fontId="43" fillId="35" borderId="13" xfId="0" applyFont="1" applyFill="1" applyBorder="1" applyNumberFormat="1">
      <alignment horizontal="left" vertical="center" wrapText="1"/>
      <protection locked="0"/>
    </xf>
    <xf numFmtId="49" fontId="43" fillId="35" borderId="12" xfId="0" applyFont="1" applyFill="1" applyBorder="1" applyNumberFormat="1">
      <alignment horizontal="left" vertical="center" wrapText="1"/>
      <protection locked="0"/>
    </xf>
    <xf numFmtId="0" fontId="36" fillId="0" borderId="0" xfId="0" applyFont="1" applyNumberFormat="1">
      <alignment vertical="center" wrapText="1"/>
    </xf>
    <xf numFmtId="0" fontId="37" fillId="0" borderId="0" xfId="0" applyFont="1" applyNumberFormat="1">
      <alignment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173" fontId="19" fillId="38" borderId="13" xfId="0" applyFont="1" applyFill="1" applyBorder="1" applyNumberFormat="1">
      <alignment horizontal="right" vertical="center" wrapText="1"/>
      <protection locked="0"/>
    </xf>
    <xf numFmtId="0" fontId="74" fillId="0" borderId="0" xfId="0" applyFont="1" applyNumberFormat="1">
      <alignment vertical="center" wrapText="1"/>
    </xf>
    <xf numFmtId="0" fontId="44" fillId="0" borderId="0" xfId="0" applyFont="1" applyNumberFormat="1">
      <alignment vertical="center" wrapText="1"/>
    </xf>
    <xf numFmtId="0" fontId="20" fillId="0" borderId="0" xfId="0" applyFont="1" applyNumberFormat="1">
      <alignment vertical="center" wrapText="1"/>
    </xf>
    <xf numFmtId="49" fontId="39" fillId="0" borderId="0" xfId="0" applyFont="1" applyNumberFormat="1">
      <alignment horizontal="center" vertical="center"/>
    </xf>
    <xf numFmtId="0" fontId="19" fillId="0" borderId="0" xfId="0" applyFont="1" applyNumberFormat="1">
      <alignment vertical="center" wrapText="1"/>
    </xf>
    <xf numFmtId="173" fontId="19" fillId="33" borderId="13" xfId="0" applyFont="1" applyFill="1" applyBorder="1" applyNumberFormat="1">
      <alignment horizontal="right" vertical="center" wrapText="1"/>
    </xf>
    <xf numFmtId="173" fontId="19" fillId="33" borderId="12" xfId="0" applyFont="1" applyFill="1" applyBorder="1" applyNumberFormat="1">
      <alignment horizontal="right" vertical="center" wrapText="1"/>
    </xf>
    <xf numFmtId="49" fontId="81" fillId="45" borderId="0" xfId="0" applyFont="1" applyFill="1" applyNumberFormat="1">
      <alignment horizontal="center" vertical="center" textRotation="90" wrapText="1"/>
    </xf>
    <xf numFmtId="0" fontId="19" fillId="38" borderId="12" xfId="0" applyFont="1" applyFill="1" applyBorder="1" applyNumberFormat="1">
      <alignment horizontal="center" vertical="center" wrapText="1"/>
      <protection locked="0"/>
    </xf>
    <xf numFmtId="4" fontId="19" fillId="38" borderId="29" xfId="0" applyFont="1" applyFill="1" applyBorder="1" applyNumberFormat="1">
      <alignment horizontal="right" vertical="center" wrapText="1"/>
      <protection locked="0"/>
    </xf>
    <xf numFmtId="4" fontId="19" fillId="38" borderId="23" xfId="0" applyFont="1" applyFill="1" applyBorder="1" applyNumberFormat="1">
      <alignment horizontal="right" vertical="center" wrapText="1"/>
      <protection locked="0"/>
    </xf>
    <xf numFmtId="0" fontId="37" fillId="0" borderId="36" xfId="0" applyFont="1" applyBorder="1" applyNumberFormat="1">
      <alignment horizontal="left" vertical="center" wrapText="1" indent="1"/>
    </xf>
    <xf numFmtId="0" fontId="37" fillId="0" borderId="36" xfId="0" applyFont="1" applyBorder="1" applyNumberFormat="1">
      <alignment horizontal="center" vertical="center" wrapText="1"/>
    </xf>
    <xf numFmtId="0" fontId="37" fillId="0" borderId="17" xfId="0" applyFont="1" applyBorder="1" applyNumberFormat="1">
      <alignment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19" fillId="0" borderId="23" xfId="0" applyFont="1" applyBorder="1" applyNumberFormat="1">
      <alignment vertical="top" wrapText="1"/>
    </xf>
    <xf numFmtId="0" fontId="19" fillId="0" borderId="13"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20" xfId="0" applyFont="1" applyBorder="1" applyNumberFormat="1">
      <alignment horizontal="center" vertical="center" wrapText="1"/>
    </xf>
    <xf numFmtId="173" fontId="19" fillId="38" borderId="17" xfId="0" applyFont="1" applyFill="1" applyBorder="1" applyNumberFormat="1">
      <alignment horizontal="right" vertical="center" wrapText="1"/>
      <protection locked="0"/>
    </xf>
    <xf numFmtId="0" fontId="37" fillId="0" borderId="23" xfId="0" applyFont="1" applyBorder="1" applyNumberFormat="1">
      <alignment horizontal="left" vertical="center" wrapText="1" indent="1"/>
    </xf>
    <xf numFmtId="0" fontId="37" fillId="0" borderId="17" xfId="0" applyFont="1" applyBorder="1" applyNumberFormat="1">
      <alignment horizontal="center" vertical="center" wrapText="1"/>
    </xf>
    <xf numFmtId="0" fontId="25" fillId="0" borderId="0" xfId="0" applyFont="1" applyNumberFormat="1">
      <alignment horizontal="center"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0" fontId="19" fillId="0" borderId="23" xfId="0" applyFont="1" applyBorder="1" applyNumberFormat="1">
      <alignment vertical="top" wrapText="1"/>
    </xf>
    <xf numFmtId="49" fontId="29" fillId="36" borderId="15" xfId="0" applyFont="1" applyFill="1" applyBorder="1" applyNumberFormat="1">
      <alignment horizontal="left" vertical="center" indent="1"/>
    </xf>
    <xf numFmtId="0" fontId="37" fillId="0" borderId="17" xfId="0" applyFont="1" applyBorder="1" applyNumberFormat="1">
      <alignment horizontal="left" vertical="center" wrapText="1" indent="1"/>
    </xf>
    <xf numFmtId="49" fontId="43" fillId="35" borderId="12" xfId="0" applyFont="1" applyFill="1" applyBorder="1" applyNumberFormat="1">
      <alignment horizontal="left" vertical="center" wrapText="1"/>
      <protection locked="0"/>
    </xf>
    <xf numFmtId="0" fontId="19" fillId="0" borderId="0" xfId="0" applyFont="1" applyNumberFormat="1">
      <alignment vertical="top" wrapText="1"/>
    </xf>
    <xf numFmtId="0" fontId="19" fillId="0" borderId="0" xfId="0" applyFont="1" applyNumberFormat="1">
      <alignment horizontal="left" vertical="top" wrapText="1"/>
    </xf>
    <xf numFmtId="0" fontId="44" fillId="0" borderId="0" xfId="0" applyFont="1" applyNumberFormat="1">
      <alignment vertical="center"/>
    </xf>
    <xf numFmtId="0" fontId="81" fillId="0" borderId="0" xfId="0" applyFont="1" applyNumberFormat="1">
      <alignment vertical="center" wrapText="1"/>
    </xf>
    <xf numFmtId="0" fontId="19" fillId="0" borderId="0" xfId="0" applyFont="1" applyNumberFormat="1">
      <alignment vertical="center" wrapText="1"/>
    </xf>
    <xf numFmtId="0" fontId="19" fillId="0" borderId="19" xfId="0" applyFont="1" applyBorder="1" applyNumberFormat="1">
      <alignment vertical="center" wrapText="1"/>
    </xf>
    <xf numFmtId="0" fontId="19" fillId="0" borderId="0" xfId="0" applyFont="1" applyNumberFormat="1">
      <alignment horizontal="center" vertical="center" wrapText="1"/>
    </xf>
    <xf numFmtId="49" fontId="20" fillId="0" borderId="0" xfId="0" applyFont="1" applyNumberFormat="1">
      <alignment horizontal="center" vertical="center" wrapText="1"/>
    </xf>
    <xf numFmtId="0" fontId="19" fillId="0" borderId="27" xfId="0" applyFont="1" applyBorder="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0" fontId="39" fillId="0" borderId="0" xfId="0" applyFont="1" applyNumberFormat="1">
      <alignment horizontal="center" vertical="center" wrapText="1"/>
    </xf>
    <xf numFmtId="49" fontId="53" fillId="0" borderId="0" xfId="0" applyFont="1" applyNumberFormat="1">
      <alignment horizontal="center" vertical="center" wrapText="1"/>
    </xf>
    <xf numFmtId="0" fontId="63" fillId="0" borderId="0" xfId="0" applyFont="1" applyNumberFormat="1">
      <alignment horizontal="center" vertical="center" wrapText="1"/>
    </xf>
    <xf numFmtId="0" fontId="90" fillId="0" borderId="0" xfId="0" applyFont="1" applyNumberFormat="1">
      <alignment horizontal="center" vertical="center" wrapText="1"/>
    </xf>
    <xf numFmtId="0" fontId="91" fillId="34" borderId="0" xfId="0" applyFont="1" applyFill="1" applyNumberFormat="1">
      <alignment horizontal="right" vertical="center"/>
    </xf>
    <xf numFmtId="0" fontId="53" fillId="0" borderId="0" xfId="0" applyFont="1" applyNumberFormat="1">
      <alignment vertical="center" wrapText="1"/>
    </xf>
    <xf numFmtId="0" fontId="62" fillId="0" borderId="0" xfId="0" applyFont="1" applyNumberFormat="1">
      <alignment vertical="center" wrapText="1"/>
    </xf>
    <xf numFmtId="0" fontId="19" fillId="0" borderId="12" xfId="0" applyFont="1" applyBorder="1" applyNumberFormat="1">
      <alignment horizontal="center" vertical="center" wrapTex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49" fontId="20" fillId="0" borderId="0" xfId="0" applyFont="1" applyNumberFormat="1">
      <alignment horizontal="center" vertical="center" wrapText="1"/>
    </xf>
    <xf numFmtId="49" fontId="19" fillId="0" borderId="0" xfId="0" applyFont="1" applyNumberFormat="1">
      <alignment horizontal="center" vertical="center" wrapText="1"/>
    </xf>
    <xf numFmtId="4" fontId="19" fillId="0" borderId="0" xfId="0" applyFont="1" applyNumberFormat="1">
      <alignment horizontal="right" vertical="center" wrapText="1"/>
    </xf>
    <xf numFmtId="9" fontId="39" fillId="0" borderId="0" xfId="0" applyFont="1" applyNumberFormat="1">
      <alignment horizontal="center" vertical="center" wrapText="1"/>
    </xf>
    <xf numFmtId="0" fontId="62"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37"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3" borderId="12" xfId="0" applyFont="1" applyFill="1" applyBorder="1" applyNumberFormat="1">
      <alignment horizontal="left" vertical="center" wrapText="1" indent="1"/>
    </xf>
    <xf numFmtId="0" fontId="19" fillId="0" borderId="13" xfId="0" applyFont="1" applyBorder="1" applyNumberFormat="1">
      <alignment horizontal="left" vertical="center" wrapText="1" indent="1"/>
    </xf>
    <xf numFmtId="49" fontId="37" fillId="0" borderId="22" xfId="0" applyFont="1" applyBorder="1" applyNumberFormat="1">
      <alignment vertical="top"/>
    </xf>
    <xf numFmtId="49" fontId="37" fillId="0" borderId="0" xfId="0" applyFont="1" applyNumberFormat="1">
      <alignment vertical="top"/>
    </xf>
    <xf numFmtId="49" fontId="36"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0" fontId="36" fillId="0" borderId="0" xfId="0" applyFont="1" applyNumberFormat="1">
      <alignment horizontal="center" vertical="top"/>
    </xf>
    <xf numFmtId="49" fontId="36" fillId="0" borderId="0" xfId="0" applyFont="1" applyNumberFormat="1">
      <alignment vertical="top"/>
    </xf>
    <xf numFmtId="0" fontId="36" fillId="0" borderId="0" xfId="0" applyFont="1" applyNumberFormat="1">
      <alignment vertical="top"/>
    </xf>
    <xf numFmtId="0" fontId="64" fillId="0" borderId="0" xfId="0" applyFont="1" applyNumberFormat="1">
      <alignment vertical="top"/>
    </xf>
    <xf numFmtId="0" fontId="77" fillId="0" borderId="0" xfId="0" applyFont="1" applyNumberFormat="1">
      <alignment vertical="top"/>
    </xf>
    <xf numFmtId="49" fontId="37" fillId="0" borderId="36" xfId="0" applyFont="1" applyBorder="1" applyNumberFormat="1">
      <alignment horizontal="center" vertical="center" wrapText="1"/>
    </xf>
    <xf numFmtId="0" fontId="36" fillId="0" borderId="0" xfId="0" applyFont="1" applyNumberFormat="1">
      <alignment horizontal="center" vertical="center" wrapText="1"/>
    </xf>
    <xf numFmtId="0" fontId="19" fillId="0" borderId="23" xfId="0" applyFont="1" applyBorder="1" applyNumberFormat="1">
      <alignment horizontal="left" vertical="center" wrapText="1"/>
    </xf>
    <xf numFmtId="2" fontId="19" fillId="0" borderId="23" xfId="0" applyFont="1" applyBorder="1" applyNumberFormat="1">
      <alignment horizontal="center" vertical="center" wrapText="1"/>
    </xf>
    <xf numFmtId="0" fontId="19" fillId="0" borderId="12" xfId="0" applyFont="1" applyBorder="1" applyNumberFormat="1">
      <alignment horizontal="left" vertical="center" wrapText="1"/>
    </xf>
    <xf numFmtId="49" fontId="37" fillId="0" borderId="22" xfId="0" applyFont="1" applyBorder="1" applyNumberFormat="1">
      <alignment vertical="top"/>
    </xf>
    <xf numFmtId="0" fontId="37" fillId="0" borderId="0" xfId="0" applyFont="1" applyNumberFormat="1">
      <alignment horizontal="center" vertical="center" wrapText="1"/>
    </xf>
    <xf numFmtId="0" fontId="37" fillId="0" borderId="0" xfId="0" applyFont="1" applyNumberFormat="1">
      <alignment horizontal="center" vertical="center" wrapTex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0" fontId="37" fillId="0" borderId="22" xfId="0" applyFont="1" applyBorder="1" applyNumberFormat="1">
      <alignment vertical="center" wrapText="1"/>
    </xf>
    <xf numFmtId="49" fontId="29" fillId="36" borderId="14" xfId="0" applyFont="1" applyFill="1" applyBorder="1" applyNumberFormat="1">
      <alignment horizontal="left" vertical="center"/>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0" fontId="19" fillId="0" borderId="23" xfId="0" applyFont="1" applyBorder="1" applyNumberFormat="1">
      <alignment horizontal="left" vertical="center" wrapText="1"/>
    </xf>
    <xf numFmtId="0" fontId="19" fillId="0" borderId="12" xfId="0" applyFont="1" applyBorder="1" applyNumberFormat="1">
      <alignment horizontal="left" vertical="center" wrapText="1"/>
    </xf>
    <xf numFmtId="0" fontId="36" fillId="0" borderId="0" xfId="0" applyFont="1" applyNumberFormat="1">
      <alignment horizontal="center" vertical="top"/>
    </xf>
    <xf numFmtId="0" fontId="37" fillId="0" borderId="0" xfId="0" applyFont="1" applyNumberFormat="1">
      <alignment horizontal="center" vertical="center" wrapText="1"/>
    </xf>
    <xf numFmtId="49" fontId="37" fillId="0" borderId="23" xfId="0" applyFont="1" applyBorder="1" applyNumberFormat="1">
      <alignment horizontal="center" vertical="center" wrapText="1"/>
    </xf>
    <xf numFmtId="49" fontId="29" fillId="0" borderId="19" xfId="0" applyFont="1" applyBorder="1" applyNumberFormat="1">
      <alignment horizontal="right" vertical="center"/>
    </xf>
    <xf numFmtId="0" fontId="19" fillId="0" borderId="0" xfId="0" applyFont="1" applyNumberFormat="1">
      <alignment horizontal="right" vertical="center" wrapText="1"/>
    </xf>
    <xf numFmtId="0" fontId="0" fillId="0" borderId="0" xfId="0" applyFont="1" applyNumberFormat="1">
      <alignment vertical="center"/>
    </xf>
    <xf numFmtId="0" fontId="34" fillId="0" borderId="0" xfId="0" applyFont="1" applyNumberFormat="1">
      <alignment horizontal="right" vertical="top" wrapText="1"/>
    </xf>
    <xf numFmtId="0" fontId="34" fillId="0" borderId="0" xfId="0" applyFont="1" applyNumberFormat="1">
      <alignment horizontal="left" vertical="top"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37" fillId="0" borderId="14" xfId="0" applyFont="1" applyBorder="1" applyNumberFormat="1">
      <alignment vertical="center" wrapText="1"/>
    </xf>
    <xf numFmtId="0" fontId="37" fillId="0" borderId="15" xfId="0" applyFont="1" applyBorder="1" applyNumberFormat="1">
      <alignment horizontal="right" vertical="center" wrapText="1" indent="1"/>
    </xf>
    <xf numFmtId="0" fontId="37" fillId="0" borderId="13" xfId="0" applyFont="1" applyBorder="1" applyNumberFormat="1">
      <alignment horizontal="right" vertical="center" wrapText="1" indent="1"/>
    </xf>
    <xf numFmtId="0" fontId="37" fillId="0" borderId="14" xfId="0" applyFont="1" applyBorder="1" applyNumberFormat="1">
      <alignment horizontal="left" vertical="top"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49" fontId="19" fillId="0" borderId="28" xfId="0" applyFont="1" applyBorder="1" applyNumberFormat="1">
      <alignment horizontal="center" vertical="center" wrapText="1"/>
    </xf>
    <xf numFmtId="0" fontId="19" fillId="0" borderId="12" xfId="0" applyFont="1" applyBorder="1" applyNumberFormat="1">
      <alignment horizontal="left" vertical="center" wrapText="1"/>
    </xf>
    <xf numFmtId="49" fontId="19" fillId="0" borderId="60" xfId="0" applyFont="1" applyBorder="1" applyNumberFormat="1">
      <alignment horizontal="center" vertical="center" wrapText="1"/>
    </xf>
    <xf numFmtId="0" fontId="19" fillId="0" borderId="12" xfId="0" applyFont="1" applyBorder="1" applyNumberFormat="1">
      <alignment horizontal="left" vertical="center" wrapText="1" indent="1"/>
    </xf>
    <xf numFmtId="0" fontId="19" fillId="0" borderId="13" xfId="0" applyFont="1" applyBorder="1" applyNumberFormat="1">
      <alignment horizontal="center" vertical="center" wrapText="1"/>
    </xf>
    <xf numFmtId="49" fontId="19" fillId="0" borderId="61" xfId="0" applyFont="1" applyBorder="1" applyNumberFormat="1">
      <alignment horizontal="center" vertical="center" wrapText="1"/>
    </xf>
    <xf numFmtId="0" fontId="19" fillId="0" borderId="13" xfId="0" applyFont="1" applyBorder="1" applyNumberFormat="1">
      <alignment horizontal="center" vertical="center" wrapText="1"/>
    </xf>
    <xf numFmtId="4" fontId="19" fillId="38" borderId="17" xfId="0" applyFont="1" applyFill="1" applyBorder="1" applyNumberFormat="1">
      <alignment horizontal="right" vertical="center" wrapText="1"/>
      <protection locked="0"/>
    </xf>
    <xf numFmtId="0" fontId="19" fillId="0" borderId="17" xfId="0" applyFont="1" applyBorder="1" applyNumberFormat="1">
      <alignment horizontal="center" vertical="center" wrapText="1"/>
    </xf>
    <xf numFmtId="49" fontId="29" fillId="36" borderId="19" xfId="0" applyFont="1" applyFill="1" applyBorder="1" applyNumberFormat="1">
      <alignment horizontal="left" vertical="center" indent="2"/>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19" fillId="0" borderId="59" xfId="0" applyFont="1" applyBorder="1" applyNumberFormat="1">
      <alignment horizontal="center" vertical="center" wrapText="1"/>
    </xf>
    <xf numFmtId="0" fontId="19" fillId="0" borderId="17" xfId="0" applyFont="1" applyBorder="1" applyNumberFormat="1">
      <alignment horizontal="left" vertical="center" wrapText="1" indent="1"/>
    </xf>
    <xf numFmtId="0" fontId="19"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36" fillId="0" borderId="0" xfId="0" applyFont="1" applyNumberFormat="1">
      <alignment horizontal="center" vertical="center" wrapText="1"/>
    </xf>
    <xf numFmtId="49" fontId="36" fillId="0" borderId="0" xfId="0" applyFont="1" applyNumberFormat="1">
      <alignment horizontal="center" vertical="center" wrapText="1"/>
    </xf>
    <xf numFmtId="0" fontId="37" fillId="0" borderId="27" xfId="0" applyFont="1" applyBorder="1" applyNumberFormat="1">
      <alignment vertical="center" wrapText="1"/>
    </xf>
    <xf numFmtId="0" fontId="19" fillId="33" borderId="14" xfId="0" applyFont="1" applyFill="1" applyBorder="1" applyNumberFormat="1">
      <alignment horizontal="left" vertical="top" wrapText="1"/>
    </xf>
    <xf numFmtId="0" fontId="19" fillId="33" borderId="13" xfId="0" applyFont="1" applyFill="1" applyBorder="1" applyNumberFormat="1">
      <alignment horizontal="left" vertical="top" wrapText="1"/>
    </xf>
    <xf numFmtId="49" fontId="36" fillId="0" borderId="0" xfId="0" applyFont="1" applyNumberFormat="1">
      <alignment horizontal="center" vertical="center" wrapText="1"/>
    </xf>
    <xf numFmtId="49" fontId="36" fillId="0" borderId="0" xfId="0" applyFont="1" applyNumberFormat="1">
      <alignment horizontal="center" vertical="center" wrapText="1"/>
    </xf>
    <xf numFmtId="0" fontId="19" fillId="0" borderId="0" xfId="0" applyFont="1" applyNumberFormat="1">
      <alignment horizontal="left" vertical="top" wrapText="1"/>
    </xf>
    <xf numFmtId="0" fontId="19" fillId="0" borderId="0" xfId="0" applyFont="1" applyNumberFormat="1">
      <alignment vertical="top"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0" xfId="0" applyFont="1" applyNumberFormat="1">
      <alignment horizontal="left" vertical="top" wrapText="1"/>
    </xf>
    <xf numFmtId="49" fontId="37" fillId="0" borderId="0" xfId="0" applyFont="1" applyNumberFormat="1">
      <alignment horizontal="center" vertical="center" wrapText="1"/>
    </xf>
    <xf numFmtId="0" fontId="37" fillId="0" borderId="0" xfId="0" applyFont="1" applyNumberFormat="1">
      <alignment horizontal="center" vertical="center" wrapText="1"/>
    </xf>
    <xf numFmtId="49" fontId="19" fillId="55" borderId="0" xfId="0" applyFont="1" applyFill="1" applyNumberFormat="1">
      <alignment horizontal="center" vertical="center" textRotation="90" wrapText="1"/>
    </xf>
    <xf numFmtId="49" fontId="19" fillId="0" borderId="12" xfId="0" applyFont="1" applyBorder="1" applyNumberFormat="1">
      <alignment horizontal="center" vertical="center" wrapText="1"/>
    </xf>
    <xf numFmtId="0" fontId="19" fillId="0" borderId="12" xfId="0" applyFont="1" applyBorder="1" applyNumberFormat="1">
      <alignment horizontal="left" vertical="center" wrapText="1"/>
    </xf>
    <xf numFmtId="4"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62" fillId="0" borderId="22" xfId="0" applyFont="1" applyBorder="1" applyNumberFormat="1">
      <alignment vertical="center" wrapText="1"/>
    </xf>
    <xf numFmtId="49"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19" fillId="0" borderId="12" xfId="0" applyFont="1" applyBorder="1" applyNumberFormat="1">
      <alignment horizontal="center" vertical="center" wrapText="1"/>
    </xf>
    <xf numFmtId="49" fontId="19" fillId="35" borderId="12" xfId="0" applyFont="1" applyFill="1" applyBorder="1" applyNumberFormat="1">
      <alignment horizontal="left" vertical="center" wrapText="1"/>
      <protection locked="0"/>
    </xf>
    <xf numFmtId="3" fontId="19" fillId="35" borderId="14" xfId="0" applyFont="1" applyFill="1" applyBorder="1" applyNumberFormat="1">
      <alignment horizontal="right" vertical="center" wrapText="1"/>
      <protection locked="0"/>
    </xf>
    <xf numFmtId="4" fontId="19" fillId="35" borderId="14" xfId="0" applyFont="1" applyFill="1" applyBorder="1" applyNumberFormat="1">
      <alignment horizontal="right" vertical="center" wrapText="1"/>
      <protection locked="0"/>
    </xf>
    <xf numFmtId="49" fontId="19" fillId="38" borderId="12" xfId="0" applyFont="1" applyFill="1" applyBorder="1" applyNumberFormat="1">
      <alignment horizontal="left" vertical="center" wrapText="1"/>
      <protection locked="0"/>
    </xf>
    <xf numFmtId="49" fontId="19" fillId="38" borderId="12" xfId="0" applyFont="1" applyFill="1" applyBorder="1" applyNumberFormat="1">
      <alignment horizontal="left" vertical="center" wrapText="1"/>
      <protection locked="0"/>
    </xf>
    <xf numFmtId="0" fontId="25" fillId="0" borderId="0" xfId="0" applyFont="1" applyNumberFormat="1">
      <alignment horizontal="center" vertical="center" wrapText="1"/>
    </xf>
    <xf numFmtId="0" fontId="19" fillId="0" borderId="17" xfId="0" applyFont="1" applyBorder="1" applyNumberFormat="1">
      <alignment horizontal="center" vertical="center" wrapText="1"/>
    </xf>
    <xf numFmtId="0" fontId="19" fillId="0" borderId="14" xfId="0" applyFont="1" applyBorder="1" applyNumberFormat="1">
      <alignment horizontal="center" vertical="center" wrapText="1"/>
    </xf>
    <xf numFmtId="0" fontId="73" fillId="0" borderId="0" xfId="0" applyFont="1" applyNumberFormat="1">
      <alignment vertical="center" wrapText="1"/>
    </xf>
    <xf numFmtId="0" fontId="19" fillId="0" borderId="12" xfId="0" applyFont="1" applyBorder="1" applyNumberFormat="1">
      <alignment horizontal="left" vertical="center" wrapText="1" indent="2"/>
    </xf>
    <xf numFmtId="3" fontId="34" fillId="35" borderId="12" xfId="0" applyFont="1" applyFill="1" applyBorder="1" applyNumberFormat="1">
      <alignment horizontal="right" vertical="center"/>
      <protection locked="0"/>
    </xf>
    <xf numFmtId="49" fontId="19" fillId="35" borderId="14" xfId="0" applyFont="1" applyFill="1" applyBorder="1" applyNumberFormat="1">
      <alignment horizontal="left" vertical="center" wrapText="1"/>
      <protection locked="0"/>
    </xf>
    <xf numFmtId="0" fontId="19" fillId="0" borderId="0" xfId="0" applyFont="1" applyNumberFormat="1">
      <alignment vertical="top" wrapText="1"/>
    </xf>
    <xf numFmtId="0" fontId="19" fillId="0" borderId="0" xfId="0" applyFont="1" applyNumberFormat="1">
      <alignment vertical="top"/>
    </xf>
    <xf numFmtId="49" fontId="36" fillId="0" borderId="0" xfId="0" applyFont="1" applyNumberFormat="1">
      <alignment horizontal="center" vertical="center" wrapText="1"/>
    </xf>
    <xf numFmtId="0" fontId="19" fillId="0" borderId="0" xfId="0" applyFont="1" applyNumberFormat="1">
      <alignment vertical="top" wrapText="1"/>
    </xf>
    <xf numFmtId="0" fontId="19" fillId="0" borderId="0" xfId="0" applyFont="1" applyNumberFormat="1">
      <alignment vertical="top"/>
    </xf>
    <xf numFmtId="49" fontId="43" fillId="0" borderId="12" xfId="0" applyFont="1" applyBorder="1" applyNumberFormat="1">
      <alignment horizontal="left" vertical="center" wrapText="1"/>
    </xf>
    <xf numFmtId="49" fontId="19" fillId="0" borderId="32" xfId="0" applyFont="1" applyBorder="1" applyNumberFormat="1">
      <alignment horizontal="center" vertical="center" wrapText="1"/>
    </xf>
    <xf numFmtId="0" fontId="19" fillId="0" borderId="32" xfId="0" applyFont="1" applyBorder="1" applyNumberFormat="1">
      <alignment horizontal="left" vertical="center" wrapText="1"/>
    </xf>
    <xf numFmtId="4" fontId="19" fillId="0" borderId="40" xfId="0" applyFont="1" applyBorder="1" applyNumberFormat="1">
      <alignment horizontal="center" vertical="center" wrapText="1"/>
    </xf>
    <xf numFmtId="49" fontId="43" fillId="0" borderId="30" xfId="0" applyFont="1" applyBorder="1" applyNumberFormat="1">
      <alignment horizontal="left" vertical="center" wrapText="1"/>
    </xf>
    <xf numFmtId="49" fontId="19" fillId="0" borderId="31" xfId="0" applyFont="1" applyBorder="1" applyNumberFormat="1">
      <alignment horizontal="center" vertical="center" wrapText="1"/>
    </xf>
    <xf numFmtId="0" fontId="19" fillId="0" borderId="33" xfId="0" applyFont="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43" fillId="0" borderId="14" xfId="0" applyFont="1" applyBorder="1" applyNumberFormat="1">
      <alignment horizontal="left" vertical="center" wrapText="1"/>
    </xf>
    <xf numFmtId="4" fontId="19" fillId="0" borderId="17" xfId="0" applyFont="1" applyBorder="1" applyNumberFormat="1">
      <alignment horizontal="center" vertical="center" wrapText="1"/>
    </xf>
    <xf numFmtId="4" fontId="19" fillId="38" borderId="35" xfId="0" applyFont="1" applyFill="1" applyBorder="1" applyNumberFormat="1">
      <alignment horizontal="right" vertical="center" wrapText="1"/>
      <protection locked="0"/>
    </xf>
    <xf numFmtId="0" fontId="19" fillId="0" borderId="33" xfId="0" applyFont="1" applyBorder="1" applyNumberFormat="1">
      <alignment horizontal="left" vertical="center" wrapText="1"/>
    </xf>
    <xf numFmtId="49" fontId="43" fillId="0" borderId="15" xfId="0" applyFont="1" applyBorder="1" applyNumberFormat="1">
      <alignment horizontal="left" vertical="center" wrapText="1"/>
    </xf>
    <xf numFmtId="0" fontId="19" fillId="0" borderId="31" xfId="0" applyFont="1" applyBorder="1" applyNumberFormat="1">
      <alignment horizontal="left" vertical="center" wrapText="1" indent="1"/>
    </xf>
    <xf numFmtId="4" fontId="19" fillId="0" borderId="32" xfId="0" applyFont="1" applyBorder="1" applyNumberFormat="1">
      <alignment horizontal="center" vertical="center" wrapText="1"/>
    </xf>
    <xf numFmtId="0" fontId="19" fillId="0" borderId="31" xfId="0" applyFont="1" applyBorder="1" applyNumberFormat="1">
      <alignment horizontal="left" vertical="center" wrapText="1"/>
    </xf>
    <xf numFmtId="0" fontId="19" fillId="0" borderId="31" xfId="0" applyFont="1" applyBorder="1" applyNumberFormat="1">
      <alignment horizontal="left" vertical="center" wrapText="1" indent="2"/>
    </xf>
    <xf numFmtId="4" fontId="19" fillId="0" borderId="31" xfId="0" applyFont="1" applyBorder="1" applyNumberFormat="1">
      <alignment horizontal="center" vertical="center" wrapText="1"/>
    </xf>
    <xf numFmtId="49" fontId="19" fillId="0" borderId="34" xfId="0" applyFont="1" applyBorder="1" applyNumberFormat="1">
      <alignment horizontal="center" vertical="center" wrapText="1"/>
    </xf>
    <xf numFmtId="49" fontId="43" fillId="38" borderId="12" xfId="0" applyFont="1" applyFill="1" applyBorder="1" applyNumberFormat="1">
      <alignment horizontal="left" vertical="center" wrapText="1"/>
      <protection locked="0"/>
    </xf>
    <xf numFmtId="0" fontId="19" fillId="0" borderId="35" xfId="0" applyFont="1" applyBorder="1" applyNumberFormat="1">
      <alignment horizontal="left" vertical="center" wrapText="1"/>
    </xf>
    <xf numFmtId="4" fontId="19" fillId="0" borderId="35" xfId="0" applyFont="1" applyBorder="1" applyNumberFormat="1">
      <alignment horizontal="center" vertical="center" wrapText="1"/>
    </xf>
    <xf numFmtId="49" fontId="43" fillId="0" borderId="37" xfId="0" applyFont="1" applyBorder="1" applyNumberFormat="1">
      <alignment horizontal="left" vertical="center" wrapText="1"/>
    </xf>
    <xf numFmtId="49" fontId="19" fillId="0" borderId="33" xfId="0" applyFont="1" applyBorder="1" applyNumberFormat="1">
      <alignment horizontal="center" vertical="center" wrapText="1"/>
    </xf>
    <xf numFmtId="4" fontId="19" fillId="38" borderId="14" xfId="0" applyFont="1" applyFill="1" applyBorder="1" applyNumberFormat="1">
      <alignment horizontal="right" vertical="center" wrapText="1"/>
      <protection locked="0"/>
    </xf>
    <xf numFmtId="4" fontId="19" fillId="38" borderId="33" xfId="0" applyFont="1" applyFill="1" applyBorder="1" applyNumberFormat="1">
      <alignment horizontal="right" vertical="center" wrapText="1"/>
      <protection locked="0"/>
    </xf>
    <xf numFmtId="4" fontId="19" fillId="0" borderId="33" xfId="0" applyFont="1" applyBorder="1" applyNumberFormat="1">
      <alignment horizontal="center" vertical="center" wrapText="1"/>
    </xf>
    <xf numFmtId="4" fontId="19" fillId="38" borderId="34" xfId="0" applyFont="1" applyFill="1" applyBorder="1" applyNumberFormat="1">
      <alignment horizontal="right" vertical="center" wrapText="1"/>
      <protection locked="0"/>
    </xf>
    <xf numFmtId="49" fontId="43" fillId="38" borderId="14" xfId="0" applyFont="1" applyFill="1" applyBorder="1" applyNumberFormat="1">
      <alignment horizontal="left" vertical="center" wrapText="1"/>
      <protection locked="0"/>
    </xf>
    <xf numFmtId="0" fontId="36" fillId="0" borderId="0" xfId="0" applyFont="1" applyNumberFormat="1">
      <alignment horizontal="center" vertical="center" wrapText="1"/>
    </xf>
    <xf numFmtId="49" fontId="19" fillId="0" borderId="0" xfId="0" applyFont="1" applyNumberFormat="1">
      <alignment vertical="center" wrapText="1"/>
    </xf>
    <xf numFmtId="0" fontId="25" fillId="0" borderId="24" xfId="0" applyFont="1" applyBorder="1" applyNumberFormat="1">
      <alignment horizontal="center" vertical="center" wrapText="1"/>
    </xf>
    <xf numFmtId="0" fontId="0" fillId="0" borderId="14" xfId="0" applyFont="1" applyBorder="1" applyNumberFormat="1">
      <alignment horizontal="center" vertical="center"/>
    </xf>
    <xf numFmtId="0" fontId="19" fillId="0" borderId="13" xfId="0" applyFont="1" applyBorder="1" applyNumberFormat="1">
      <alignment horizontal="center" vertical="center" wrapText="1"/>
    </xf>
    <xf numFmtId="174" fontId="0" fillId="35"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0" fontId="19" fillId="0" borderId="0" xfId="0" applyFont="1" applyNumberFormat="1">
      <alignment horizontal="left" vertical="center" wrapText="1"/>
    </xf>
    <xf numFmtId="0" fontId="19" fillId="33" borderId="14" xfId="0" applyFont="1" applyFill="1" applyBorder="1" applyNumberFormat="1">
      <alignment horizontal="left" vertical="top" wrapText="1" indent="1"/>
    </xf>
    <xf numFmtId="0" fontId="19" fillId="33" borderId="13" xfId="0" applyFont="1" applyFill="1" applyBorder="1" applyNumberFormat="1">
      <alignment horizontal="left" vertical="top" wrapText="1" inden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24"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19" fillId="0" borderId="13" xfId="0" applyFont="1" applyBorder="1" applyNumberFormat="1">
      <alignment horizontal="center" vertical="center" wrapText="1"/>
    </xf>
    <xf numFmtId="0" fontId="19" fillId="36" borderId="14" xfId="0" applyFont="1" applyFill="1" applyBorder="1" applyNumberFormat="1">
      <alignment vertical="center" wrapText="1"/>
    </xf>
    <xf numFmtId="0" fontId="19" fillId="0" borderId="13" xfId="0" applyFont="1" applyBorder="1" applyNumberFormat="1">
      <alignment horizontal="center" vertical="center" wrapText="1"/>
    </xf>
    <xf numFmtId="0" fontId="19" fillId="36" borderId="19" xfId="0" applyFont="1" applyFill="1" applyBorder="1" applyNumberFormat="1">
      <alignment vertical="center" wrapText="1"/>
    </xf>
    <xf numFmtId="0" fontId="19" fillId="0" borderId="15" xfId="0" applyFont="1" applyBorder="1" applyNumberFormat="1">
      <alignment horizontal="center" vertical="center" wrapText="1"/>
    </xf>
    <xf numFmtId="49" fontId="19" fillId="39" borderId="12" xfId="0" applyFont="1" applyFill="1" applyBorder="1" applyNumberFormat="1">
      <alignment horizontal="center" vertical="center" wrapText="1"/>
    </xf>
    <xf numFmtId="49"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0" borderId="13" xfId="0" applyFont="1" applyBorder="1" applyNumberFormat="1">
      <alignment vertical="center" wrapText="1"/>
    </xf>
    <xf numFmtId="0" fontId="19" fillId="36" borderId="27" xfId="0" applyFont="1" applyFill="1" applyBorder="1" applyNumberFormat="1">
      <alignment vertical="center" wrapText="1"/>
    </xf>
    <xf numFmtId="0" fontId="24" fillId="0" borderId="0" xfId="0" applyFont="1" applyNumberFormat="1">
      <alignment horizontal="center" vertical="center" wrapText="1"/>
    </xf>
    <xf numFmtId="49" fontId="36" fillId="0" borderId="0" xfId="0" applyFont="1" applyNumberFormat="1">
      <alignment horizontal="center" vertical="center" wrapText="1"/>
    </xf>
    <xf numFmtId="0" fontId="19" fillId="0" borderId="0" xfId="0" applyFont="1" applyNumberFormat="1">
      <alignment vertical="center" wrapText="1"/>
    </xf>
    <xf numFmtId="49" fontId="36" fillId="0" borderId="0" xfId="0" applyFont="1" applyNumberFormat="1">
      <alignment horizontal="center" vertical="center" wrapText="1"/>
    </xf>
    <xf numFmtId="0" fontId="19" fillId="0" borderId="0" xfId="0" applyFont="1" applyNumberFormat="1">
      <alignment vertical="center" wrapText="1"/>
    </xf>
    <xf numFmtId="49" fontId="36" fillId="0" borderId="0" xfId="0" applyFont="1" applyNumberFormat="1">
      <alignment horizontal="center" vertical="center" wrapText="1"/>
    </xf>
    <xf numFmtId="49" fontId="88" fillId="0" borderId="0" xfId="0" applyFont="1" applyNumberFormat="1">
      <alignment horizontal="center"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0" fillId="34" borderId="17"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0" fontId="0" fillId="34" borderId="1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49" fontId="37"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37" fillId="0" borderId="0" xfId="0" applyFont="1" applyNumberFormat="1">
      <alignment horizontal="center" vertical="center" wrapText="1"/>
    </xf>
    <xf numFmtId="49" fontId="19" fillId="0" borderId="14" xfId="0" applyFont="1" applyBorder="1" applyNumberFormat="1">
      <alignment horizontal="center" vertical="center" wrapText="1"/>
    </xf>
    <xf numFmtId="49" fontId="29" fillId="36" borderId="14" xfId="0" applyFont="1" applyFill="1" applyBorder="1" applyNumberFormat="1">
      <alignment horizontal="left" vertical="center" indent="1"/>
    </xf>
    <xf numFmtId="0" fontId="19" fillId="36" borderId="29" xfId="0" applyFont="1" applyFill="1" applyBorder="1" applyNumberFormat="1">
      <alignment vertical="center" wrapText="1"/>
    </xf>
    <xf numFmtId="0" fontId="36" fillId="0" borderId="0" xfId="0" applyFont="1" applyNumberFormat="1">
      <alignment vertical="center" wrapText="1"/>
    </xf>
    <xf numFmtId="0" fontId="36" fillId="0" borderId="0" xfId="0" applyFont="1" applyNumberFormat="1">
      <alignment vertical="center" wrapText="1"/>
    </xf>
    <xf numFmtId="0" fontId="36"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horizontal="left" vertical="center" wrapText="1" indent="3"/>
    </xf>
    <xf numFmtId="0" fontId="19" fillId="34" borderId="0" xfId="0" applyFont="1" applyFill="1" applyNumberFormat="1">
      <alignment vertical="center" wrapText="1"/>
    </xf>
    <xf numFmtId="0" fontId="19" fillId="34" borderId="39" xfId="0" applyFont="1" applyFill="1" applyBorder="1" applyNumberFormat="1">
      <alignment vertical="center" wrapText="1"/>
    </xf>
    <xf numFmtId="0" fontId="19" fillId="34" borderId="39" xfId="0" applyFont="1" applyFill="1" applyBorder="1" applyNumberFormat="1">
      <alignment vertical="center" wrapText="1"/>
    </xf>
    <xf numFmtId="49" fontId="60" fillId="0" borderId="39" xfId="0" applyFont="1" applyBorder="1" applyNumberFormat="1">
      <alignment vertical="top"/>
    </xf>
    <xf numFmtId="49" fontId="60" fillId="0" borderId="39" xfId="0" applyFont="1" applyBorder="1" applyNumberFormat="1">
      <alignment vertical="top"/>
    </xf>
    <xf numFmtId="0" fontId="39" fillId="34" borderId="39" xfId="0" applyFont="1" applyFill="1" applyBorder="1" applyNumberFormat="1">
      <alignment horizontal="center" wrapText="1"/>
    </xf>
    <xf numFmtId="0" fontId="39" fillId="34" borderId="39" xfId="0" applyFont="1" applyFill="1" applyBorder="1" applyNumberFormat="1">
      <alignment horizontal="center" wrapText="1"/>
    </xf>
    <xf numFmtId="0" fontId="19" fillId="34" borderId="39" xfId="0" applyFont="1" applyFill="1" applyBorder="1" applyNumberFormat="1">
      <alignment vertical="center" wrapText="1"/>
    </xf>
    <xf numFmtId="0" fontId="19" fillId="34" borderId="39" xfId="0" applyFont="1" applyFill="1" applyBorder="1" applyNumberFormat="1">
      <alignment vertical="center" wrapText="1"/>
    </xf>
    <xf numFmtId="49" fontId="19" fillId="0" borderId="0" xfId="0" applyFont="1" applyNumberFormat="1">
      <alignment vertical="top"/>
    </xf>
    <xf numFmtId="0" fontId="19" fillId="0" borderId="62" xfId="0" applyFont="1" applyBorder="1" applyNumberFormat="1">
      <alignment horizontal="center" vertical="center"/>
    </xf>
    <xf numFmtId="0" fontId="19" fillId="0" borderId="63" xfId="0" applyFont="1" applyBorder="1" applyNumberFormat="1">
      <alignment horizontal="center" vertical="center"/>
    </xf>
    <xf numFmtId="0" fontId="19" fillId="0" borderId="65" xfId="0" applyFont="1" applyBorder="1" applyNumberFormat="1">
      <alignment horizontal="center" vertical="center"/>
    </xf>
    <xf numFmtId="0" fontId="19" fillId="0" borderId="38" xfId="0" applyFont="1" applyBorder="1" applyNumberFormat="1">
      <alignment vertical="center" wrapText="1"/>
    </xf>
    <xf numFmtId="0" fontId="19" fillId="34" borderId="12"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0" xfId="0" applyFont="1" applyFill="1" applyBorder="1" applyNumberFormat="1">
      <alignment horizontal="center"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2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49" fontId="19" fillId="0" borderId="0" xfId="0" applyFont="1" applyNumberFormat="1">
      <alignment vertical="top"/>
    </xf>
    <xf numFmtId="0" fontId="19" fillId="0" borderId="0" xfId="0" applyFont="1" applyNumberFormat="1">
      <alignment vertical="center" wrapText="1"/>
    </xf>
    <xf numFmtId="49" fontId="88" fillId="0" borderId="0" xfId="0" applyFont="1" applyNumberFormat="1">
      <alignment horizontal="center" vertical="center" wrapText="1"/>
    </xf>
    <xf numFmtId="0" fontId="19" fillId="34" borderId="0" xfId="0" applyFont="1" applyFill="1" applyNumberFormat="1">
      <alignment vertical="center" wrapText="1"/>
    </xf>
    <xf numFmtId="0" fontId="0" fillId="0" borderId="12" xfId="0" applyFont="1" applyBorder="1" applyNumberFormat="1">
      <alignment horizontal="center" vertical="center" wrapText="1"/>
    </xf>
    <xf numFmtId="49" fontId="19" fillId="0" borderId="0" xfId="0" applyFont="1" applyNumberFormat="1">
      <alignment vertical="top"/>
    </xf>
    <xf numFmtId="0" fontId="19" fillId="34" borderId="3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xf>
    <xf numFmtId="0" fontId="19" fillId="0" borderId="0" xfId="0" applyFont="1" applyNumberFormat="1">
      <alignmen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0" fontId="19" fillId="0" borderId="0" xfId="0" applyFont="1" applyNumberFormat="1">
      <alignment horizontal="lef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19" xfId="0" applyFont="1" applyFill="1" applyBorder="1" applyNumberFormat="1">
      <alignment vertical="center" wrapText="1"/>
    </xf>
    <xf numFmtId="49" fontId="19" fillId="0" borderId="0" xfId="0" applyFont="1" applyNumberFormat="1">
      <alignment vertical="top"/>
    </xf>
    <xf numFmtId="49" fontId="37" fillId="0" borderId="0" xfId="0" applyFont="1" applyNumberFormat="1">
      <alignment vertical="top"/>
    </xf>
    <xf numFmtId="0" fontId="37" fillId="0" borderId="39" xfId="0" applyFont="1" applyBorder="1" applyNumberFormat="1">
      <alignment vertical="center" wrapText="1"/>
    </xf>
    <xf numFmtId="0" fontId="19" fillId="0" borderId="75" xfId="0" applyFont="1" applyBorder="1" applyNumberFormat="1">
      <alignment horizontal="center" vertical="center"/>
    </xf>
    <xf numFmtId="0" fontId="19" fillId="0" borderId="43" xfId="0" applyFont="1" applyBorder="1" applyNumberFormat="1">
      <alignment horizontal="center" vertical="center"/>
    </xf>
    <xf numFmtId="0" fontId="19"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19" fillId="0" borderId="22" xfId="0" applyFont="1" applyBorder="1" applyNumberFormat="1">
      <alignment vertical="top"/>
    </xf>
    <xf numFmtId="49" fontId="0" fillId="0" borderId="36" xfId="0" applyFont="1" applyBorder="1" applyNumberFormat="1">
      <alignment horizontal="center" vertical="center" wrapText="1"/>
    </xf>
    <xf numFmtId="0" fontId="0" fillId="33"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3" borderId="12" xfId="0" applyFont="1" applyFill="1" applyBorder="1" applyNumberFormat="1">
      <alignment horizontal="center" vertical="center"/>
    </xf>
    <xf numFmtId="0" fontId="19"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5"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34" fillId="0" borderId="0" xfId="0" applyFont="1" applyNumberFormat="1">
      <alignment vertical="center"/>
    </xf>
    <xf numFmtId="49" fontId="89"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xf>
    <xf numFmtId="49" fontId="89" fillId="0" borderId="0" xfId="0" applyFont="1" applyNumberFormat="1">
      <alignment vertical="center" wrapText="1"/>
    </xf>
    <xf numFmtId="49" fontId="34" fillId="0" borderId="0" xfId="0" applyFont="1" applyNumberFormat="1">
      <alignment vertical="center" wrapText="1"/>
    </xf>
    <xf numFmtId="49" fontId="34" fillId="0" borderId="0" xfId="0" applyFont="1" applyNumberFormat="1">
      <alignment vertical="top"/>
    </xf>
    <xf numFmtId="49" fontId="34" fillId="0" borderId="0" xfId="0" applyFont="1" applyNumberFormat="1">
      <alignment vertical="center" wrapText="1"/>
    </xf>
    <xf numFmtId="49" fontId="19" fillId="0" borderId="0" xfId="0" applyFont="1" applyNumberFormat="1">
      <alignment horizontal="center" vertical="top" wrapText="1"/>
    </xf>
    <xf numFmtId="49" fontId="20" fillId="0" borderId="0" xfId="0" applyFont="1" applyNumberFormat="1">
      <alignment horizontal="center" vertical="top" wrapText="1"/>
    </xf>
    <xf numFmtId="49" fontId="19" fillId="34" borderId="0" xfId="0" applyFont="1" applyFill="1" applyNumberFormat="1">
      <alignment horizontal="center" vertical="top" wrapText="1"/>
    </xf>
    <xf numFmtId="0" fontId="19" fillId="0" borderId="20" xfId="0" applyFont="1" applyBorder="1" applyNumberFormat="1">
      <alignment horizontal="left" vertical="top" wrapText="1"/>
    </xf>
    <xf numFmtId="49" fontId="19" fillId="0" borderId="0" xfId="0" applyFont="1" applyNumberFormat="1">
      <alignment horizontal="center" vertical="center" wrapText="1"/>
    </xf>
    <xf numFmtId="49" fontId="20" fillId="0" borderId="0" xfId="0" applyFont="1" applyNumberFormat="1">
      <alignment horizontal="center" vertical="center" wrapText="1"/>
    </xf>
    <xf numFmtId="49" fontId="19" fillId="34" borderId="0" xfId="0" applyFont="1" applyFill="1" applyNumberFormat="1">
      <alignment horizontal="center" vertical="center" wrapText="1"/>
    </xf>
    <xf numFmtId="49" fontId="34" fillId="0" borderId="0" xfId="0" applyFont="1" applyNumberFormat="1">
      <alignment horizontal="center" vertical="center" wrapText="1"/>
    </xf>
    <xf numFmtId="49" fontId="89" fillId="0" borderId="0" xfId="0" applyFont="1" applyNumberFormat="1">
      <alignment horizontal="center" vertical="center" wrapText="1"/>
    </xf>
    <xf numFmtId="49" fontId="34" fillId="0" borderId="0" xfId="0" applyFont="1" applyNumberFormat="1">
      <alignment horizontal="center" vertical="center" wrapText="1"/>
    </xf>
    <xf numFmtId="0" fontId="34" fillId="0" borderId="0" xfId="0" applyFont="1" applyNumberFormat="1">
      <alignment horizontal="center" vertical="center" wrapText="1"/>
    </xf>
    <xf numFmtId="49" fontId="89" fillId="0" borderId="0" xfId="0" applyFont="1" applyNumberFormat="1">
      <alignment horizontal="center" vertical="center" wrapText="1"/>
    </xf>
    <xf numFmtId="49" fontId="19" fillId="0" borderId="0" xfId="0" applyFont="1" applyNumberFormat="1">
      <alignment horizontal="center" vertical="center" wrapText="1"/>
    </xf>
    <xf numFmtId="0" fontId="19" fillId="0" borderId="0" xfId="0" applyFont="1" applyNumberFormat="1">
      <alignment horizontal="center" vertical="center" wrapText="1"/>
    </xf>
    <xf numFmtId="0" fontId="19" fillId="48" borderId="14" xfId="0" applyFont="1" applyFill="1" applyBorder="1" applyNumberFormat="1">
      <alignment horizontal="center" vertical="center" wrapText="1"/>
    </xf>
    <xf numFmtId="0" fontId="19" fillId="48" borderId="15" xfId="0" applyFont="1" applyFill="1" applyBorder="1" applyNumberFormat="1">
      <alignment horizontal="center" vertical="center" wrapText="1"/>
    </xf>
    <xf numFmtId="0" fontId="19" fillId="48" borderId="13" xfId="0" applyFont="1" applyFill="1" applyBorder="1" applyNumberFormat="1">
      <alignment horizontal="center" vertical="center" wrapText="1"/>
    </xf>
    <xf numFmtId="49" fontId="36" fillId="46" borderId="14" xfId="0" applyFont="1" applyFill="1" applyBorder="1" applyNumberFormat="1">
      <alignment horizontal="center" vertical="center" wrapText="1"/>
    </xf>
    <xf numFmtId="49" fontId="36" fillId="46" borderId="15" xfId="0" applyFont="1" applyFill="1" applyBorder="1" applyNumberFormat="1">
      <alignment horizontal="center" vertical="center" wrapText="1"/>
    </xf>
    <xf numFmtId="49" fontId="36" fillId="46" borderId="13" xfId="0" applyFont="1" applyFill="1" applyBorder="1" applyNumberFormat="1">
      <alignment horizontal="center" vertical="center" wrapText="1"/>
    </xf>
    <xf numFmtId="49" fontId="36" fillId="49" borderId="14" xfId="0" applyFont="1" applyFill="1" applyBorder="1" applyNumberFormat="1">
      <alignment horizontal="center" vertical="center" wrapText="1"/>
    </xf>
    <xf numFmtId="49" fontId="36" fillId="49" borderId="15" xfId="0" applyFont="1" applyFill="1" applyBorder="1" applyNumberFormat="1">
      <alignment horizontal="center" vertical="center" wrapText="1"/>
    </xf>
    <xf numFmtId="49" fontId="36" fillId="49" borderId="13" xfId="0" applyFont="1" applyFill="1" applyBorder="1" applyNumberFormat="1">
      <alignment horizontal="center" vertical="center" wrapText="1"/>
    </xf>
    <xf numFmtId="49" fontId="19" fillId="50" borderId="14" xfId="0" applyFont="1" applyFill="1" applyBorder="1" applyNumberFormat="1">
      <alignment horizontal="center" vertical="center" wrapText="1"/>
    </xf>
    <xf numFmtId="49" fontId="19" fillId="50" borderId="15" xfId="0" applyFont="1" applyFill="1" applyBorder="1" applyNumberFormat="1">
      <alignment horizontal="center" vertical="center" wrapText="1"/>
    </xf>
    <xf numFmtId="49" fontId="19" fillId="40" borderId="19" xfId="0" applyFont="1" applyFill="1" applyBorder="1" applyNumberFormat="1">
      <alignment horizontal="center" vertical="center" wrapText="1"/>
    </xf>
    <xf numFmtId="49" fontId="19" fillId="40" borderId="0" xfId="0" applyFont="1" applyFill="1" applyNumberFormat="1">
      <alignment horizontal="center" vertical="center" wrapText="1"/>
    </xf>
    <xf numFmtId="49" fontId="19" fillId="0" borderId="14" xfId="0" applyFont="1" applyBorder="1" applyNumberFormat="1">
      <alignment horizontal="center" vertical="center" wrapText="1"/>
    </xf>
    <xf numFmtId="49" fontId="19" fillId="0" borderId="15" xfId="0" applyFont="1" applyBorder="1" applyNumberFormat="1">
      <alignment horizontal="center" vertical="center" wrapText="1"/>
    </xf>
    <xf numFmtId="49" fontId="19" fillId="0" borderId="13" xfId="0" applyFont="1" applyBorder="1" applyNumberFormat="1">
      <alignment horizontal="center" vertical="center" wrapText="1"/>
    </xf>
    <xf numFmtId="49" fontId="34" fillId="34" borderId="0" xfId="0" applyFont="1" applyFill="1" applyNumberFormat="1">
      <alignment vertical="center" wrapText="1"/>
    </xf>
    <xf numFmtId="49" fontId="19" fillId="34" borderId="12" xfId="0" applyFont="1" applyFill="1" applyBorder="1" applyNumberFormat="1">
      <alignment horizontal="center" vertical="center" wrapText="1"/>
    </xf>
    <xf numFmtId="49" fontId="19" fillId="40" borderId="12" xfId="0" applyFont="1" applyFill="1" applyBorder="1" applyNumberFormat="1">
      <alignment horizontal="center" vertical="center" wrapText="1"/>
    </xf>
    <xf numFmtId="0" fontId="19" fillId="40" borderId="12" xfId="0" applyFont="1" applyFill="1" applyBorder="1" applyNumberFormat="1">
      <alignment horizontal="center" vertical="center" wrapText="1"/>
    </xf>
    <xf numFmtId="0" fontId="19" fillId="40" borderId="14" xfId="0" applyFont="1" applyFill="1" applyBorder="1" applyNumberFormat="1">
      <alignment horizontal="center" vertical="center" wrapText="1"/>
    </xf>
    <xf numFmtId="0" fontId="19" fillId="34" borderId="14" xfId="0" applyFont="1" applyFill="1" applyBorder="1" applyNumberFormat="1">
      <alignment horizontal="center" vertical="center" wrapText="1"/>
    </xf>
    <xf numFmtId="0" fontId="19" fillId="34" borderId="15" xfId="0" applyFont="1" applyFill="1" applyBorder="1" applyNumberFormat="1">
      <alignment horizontal="center" vertical="center" wrapText="1"/>
    </xf>
    <xf numFmtId="0" fontId="19" fillId="34" borderId="13" xfId="0" applyFont="1" applyFill="1" applyBorder="1" applyNumberFormat="1">
      <alignment horizontal="center" vertical="center" wrapText="1"/>
    </xf>
    <xf numFmtId="0" fontId="19" fillId="40" borderId="13" xfId="0" applyFont="1" applyFill="1" applyBorder="1" applyNumberFormat="1">
      <alignment horizontal="center" vertical="center" wrapText="1"/>
    </xf>
    <xf numFmtId="49" fontId="19" fillId="0" borderId="0" xfId="0" applyFont="1" applyNumberFormat="1">
      <alignment vertical="center" wrapText="1"/>
    </xf>
    <xf numFmtId="49" fontId="34" fillId="0" borderId="0" xfId="0" applyFont="1" applyNumberFormat="1">
      <alignment vertical="top"/>
    </xf>
    <xf numFmtId="0" fontId="19" fillId="34" borderId="2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49" fontId="19" fillId="40" borderId="27" xfId="0" applyFont="1" applyFill="1" applyBorder="1" applyNumberFormat="1">
      <alignment horizontal="center" vertical="center" wrapText="1"/>
    </xf>
    <xf numFmtId="49" fontId="34" fillId="34" borderId="0" xfId="0" applyFont="1" applyFill="1" applyNumberFormat="1">
      <alignment vertical="center"/>
    </xf>
    <xf numFmtId="49" fontId="24" fillId="0" borderId="12" xfId="0" applyFont="1" applyBorder="1" applyNumberFormat="1">
      <alignment horizontal="center" vertical="center"/>
    </xf>
    <xf numFmtId="49" fontId="24" fillId="40" borderId="12" xfId="0" applyFont="1" applyFill="1" applyBorder="1" applyNumberFormat="1">
      <alignment horizontal="center" vertical="center"/>
    </xf>
    <xf numFmtId="0" fontId="24" fillId="0" borderId="12" xfId="0" applyFont="1" applyBorder="1" applyNumberFormat="1">
      <alignment horizontal="center" vertical="center"/>
    </xf>
    <xf numFmtId="49" fontId="24" fillId="0" borderId="23" xfId="0" applyFont="1" applyBorder="1" applyNumberFormat="1">
      <alignment horizontal="center" vertical="center"/>
    </xf>
    <xf numFmtId="49" fontId="19" fillId="0" borderId="0" xfId="0" applyFont="1" applyNumberFormat="1">
      <alignment vertical="center"/>
    </xf>
    <xf numFmtId="49" fontId="89" fillId="0" borderId="0" xfId="0" applyFont="1" applyNumberFormat="1">
      <alignment vertical="center"/>
    </xf>
    <xf numFmtId="49" fontId="36" fillId="0" borderId="17" xfId="0" applyFont="1" applyBorder="1" applyNumberFormat="1">
      <alignment horizontal="center" vertical="center"/>
    </xf>
    <xf numFmtId="49" fontId="19" fillId="0" borderId="17" xfId="0" applyFont="1" applyBorder="1" applyNumberFormat="1">
      <alignment horizontal="center" vertical="center"/>
    </xf>
    <xf numFmtId="0" fontId="19" fillId="0" borderId="17" xfId="0" applyFont="1" applyBorder="1" applyNumberFormat="1">
      <alignment horizontal="right" vertical="center"/>
    </xf>
    <xf numFmtId="0" fontId="19" fillId="0" borderId="17" xfId="0" applyFont="1" applyBorder="1" applyNumberFormat="1">
      <alignment horizontal="center" vertical="center"/>
    </xf>
    <xf numFmtId="0" fontId="19" fillId="0" borderId="12" xfId="0" applyFont="1" applyBorder="1" applyNumberFormat="1">
      <alignment horizontal="right" vertical="center"/>
    </xf>
    <xf numFmtId="49" fontId="19" fillId="0" borderId="0" xfId="0" applyFont="1" applyNumberFormat="1">
      <alignment vertical="center"/>
    </xf>
    <xf numFmtId="49" fontId="34" fillId="0" borderId="0" xfId="0" applyFont="1" applyNumberFormat="1">
      <alignment vertical="top"/>
    </xf>
    <xf numFmtId="4" fontId="34" fillId="34" borderId="0" xfId="0" applyFont="1" applyFill="1" applyNumberFormat="1">
      <alignment vertical="center"/>
    </xf>
    <xf numFmtId="49" fontId="34" fillId="0" borderId="0" xfId="0" applyFont="1" applyNumberFormat="1">
      <alignment vertical="center" wrapText="1"/>
    </xf>
    <xf numFmtId="49" fontId="34" fillId="0" borderId="0" xfId="0" applyFont="1" applyNumberFormat="1">
      <alignment vertical="top"/>
    </xf>
    <xf numFmtId="0" fontId="34" fillId="0" borderId="0" xfId="0" applyFont="1" applyNumberFormat="1">
      <alignment vertical="center" wrapText="1"/>
    </xf>
    <xf numFmtId="49" fontId="84" fillId="0" borderId="0" xfId="0" applyFont="1" applyNumberFormat="1">
      <alignment vertical="center" wrapText="1"/>
    </xf>
    <xf numFmtId="49" fontId="34" fillId="0" borderId="0" xfId="0" applyFont="1" applyNumberFormat="1">
      <alignment vertical="center" wrapText="1"/>
    </xf>
    <xf numFmtId="49" fontId="89" fillId="0" borderId="0" xfId="0" applyFont="1" applyNumberFormat="1">
      <alignment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indent="1"/>
    </xf>
    <xf numFmtId="0" fontId="19" fillId="0" borderId="14" xfId="0" applyFont="1" applyBorder="1" applyNumberFormat="1">
      <alignment horizontal="center" vertical="center" wrapText="1"/>
    </xf>
    <xf numFmtId="0" fontId="19" fillId="0" borderId="12" xfId="0" applyFont="1" applyBorder="1" applyNumberFormat="1">
      <alignment horizontal="left" vertical="center" wrapText="1"/>
    </xf>
    <xf numFmtId="3" fontId="19" fillId="38" borderId="14" xfId="0" applyFont="1" applyFill="1" applyBorder="1" applyNumberFormat="1">
      <alignment vertical="center" wrapText="1"/>
      <protection locked="0"/>
    </xf>
    <xf numFmtId="0" fontId="19" fillId="0" borderId="12" xfId="0" applyFont="1" applyBorder="1" applyNumberFormat="1">
      <alignment vertical="top" wrapText="1"/>
    </xf>
    <xf numFmtId="0" fontId="19" fillId="0" borderId="12" xfId="0" applyFont="1" applyBorder="1" applyNumberFormat="1">
      <alignment horizontal="left" vertical="top" wrapText="1"/>
    </xf>
    <xf numFmtId="4" fontId="19" fillId="33" borderId="14" xfId="0" applyFont="1" applyFill="1" applyBorder="1" applyNumberFormat="1">
      <alignment horizontal="right" vertical="center" wrapText="1"/>
    </xf>
    <xf numFmtId="0" fontId="36" fillId="0" borderId="12" xfId="0" applyFont="1" applyBorder="1" applyNumberFormat="1">
      <alignment vertical="top" wrapText="1"/>
    </xf>
    <xf numFmtId="49" fontId="19" fillId="38" borderId="12" xfId="0" applyFont="1" applyFill="1" applyBorder="1" applyNumberFormat="1">
      <alignment horizontal="left" vertical="center" wrapText="1" indent="1"/>
      <protection locked="0"/>
    </xf>
    <xf numFmtId="0" fontId="19" fillId="0" borderId="0" xfId="0" applyFont="1" applyNumberFormat="1">
      <alignment horizontal="left" vertical="center" wrapText="1" indent="2"/>
    </xf>
    <xf numFmtId="0" fontId="28" fillId="34" borderId="0" xfId="0" applyFont="1" applyFill="1" applyNumberFormat="1">
      <alignment vertical="center" wrapText="1"/>
    </xf>
    <xf numFmtId="0" fontId="19" fillId="34" borderId="0" xfId="0" applyFont="1" applyFill="1" applyNumberFormat="1">
      <alignment vertical="center" wrapText="1"/>
    </xf>
    <xf numFmtId="0" fontId="19" fillId="34" borderId="0" xfId="0" applyFont="1" applyFill="1" applyNumberFormat="1">
      <alignment horizontal="right" vertical="center"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49" fontId="19" fillId="0" borderId="0" xfId="0" applyFont="1" applyNumberFormat="1">
      <alignment vertical="center"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19" fillId="34" borderId="0" xfId="0" applyFont="1" applyFill="1" applyNumberFormat="1">
      <alignment horizontal="center" vertical="center" wrapText="1"/>
    </xf>
    <xf numFmtId="0" fontId="19" fillId="34" borderId="0" xfId="0" applyFont="1" applyFill="1" applyNumberFormat="1">
      <alignment horizontal="right" vertical="center"/>
    </xf>
    <xf numFmtId="49" fontId="19" fillId="0" borderId="0" xfId="0" applyFont="1" applyNumberFormat="1">
      <alignment vertical="center" wrapText="1"/>
    </xf>
    <xf numFmtId="0" fontId="19" fillId="34" borderId="0" xfId="0" applyFont="1" applyFill="1" applyNumberFormat="1">
      <alignment horizontal="center" vertical="center" wrapText="1"/>
    </xf>
    <xf numFmtId="0" fontId="19" fillId="34" borderId="12" xfId="0" applyFont="1" applyFill="1" applyBorder="1" applyNumberFormat="1">
      <alignment horizontal="center" vertical="center"/>
    </xf>
    <xf numFmtId="0" fontId="19"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24" fillId="34" borderId="0" xfId="0" applyFont="1" applyFill="1" applyNumberFormat="1">
      <alignment horizontal="center" vertical="center" wrapText="1"/>
    </xf>
    <xf numFmtId="49" fontId="19" fillId="0" borderId="0" xfId="0" applyFont="1" applyNumberFormat="1">
      <alignment vertical="top"/>
    </xf>
    <xf numFmtId="49" fontId="0" fillId="34"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19"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indent="2"/>
      <protection locked="0"/>
    </xf>
    <xf numFmtId="49" fontId="43" fillId="38" borderId="12" xfId="0" applyFont="1" applyFill="1" applyBorder="1" applyNumberFormat="1">
      <alignment horizontal="left" vertical="center" wrapText="1"/>
      <protection locked="0"/>
    </xf>
    <xf numFmtId="0" fontId="19" fillId="36" borderId="14" xfId="0" applyFont="1" applyFill="1" applyBorder="1" applyNumberFormat="1">
      <alignment vertical="center" wrapText="1"/>
    </xf>
    <xf numFmtId="49" fontId="29" fillId="36" borderId="15" xfId="0" applyFont="1" applyFill="1" applyBorder="1" applyNumberFormat="1">
      <alignment horizontal="left" vertical="center" indent="2"/>
    </xf>
    <xf numFmtId="49" fontId="33" fillId="36" borderId="13" xfId="0" applyFont="1" applyFill="1" applyBorder="1" applyNumberFormat="1">
      <alignment horizontal="center" vertical="top"/>
    </xf>
    <xf numFmtId="0" fontId="19" fillId="0" borderId="17" xfId="0" applyFont="1" applyBorder="1" applyNumberFormat="1">
      <alignment vertical="center" wrapText="1"/>
    </xf>
    <xf numFmtId="0" fontId="19"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28" fillId="34" borderId="0" xfId="0" applyFont="1" applyFill="1" applyNumberFormat="1">
      <alignment vertical="center" wrapText="1"/>
    </xf>
    <xf numFmtId="49" fontId="33" fillId="36" borderId="15" xfId="0" applyFont="1" applyFill="1" applyBorder="1" applyNumberFormat="1">
      <alignment horizontal="center" vertical="top"/>
    </xf>
    <xf numFmtId="0" fontId="37" fillId="0" borderId="0" xfId="0" applyFont="1" applyNumberFormat="1">
      <alignment vertical="center"/>
    </xf>
    <xf numFmtId="49"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57" fillId="0" borderId="12" xfId="0" applyFont="1" applyBorder="1" applyNumberFormat="1">
      <alignment horizontal="center" vertical="center" wrapText="1"/>
    </xf>
    <xf numFmtId="0" fontId="57" fillId="0" borderId="12" xfId="0" applyFont="1" applyBorder="1" applyNumberFormat="1">
      <alignment horizontal="left" vertical="center" wrapText="1" indent="2"/>
    </xf>
    <xf numFmtId="49" fontId="61" fillId="0" borderId="14" xfId="0" applyFont="1" applyBorder="1" applyNumberFormat="1">
      <alignment horizontal="left" vertical="center" wrapText="1"/>
    </xf>
    <xf numFmtId="0" fontId="19" fillId="0" borderId="17" xfId="0" applyFont="1" applyBorder="1" applyNumberFormat="1">
      <alignment vertical="top" wrapText="1"/>
    </xf>
    <xf numFmtId="49" fontId="29" fillId="36" borderId="15" xfId="0" applyFont="1" applyFill="1" applyBorder="1" applyNumberFormat="1">
      <alignment horizontal="left" vertical="center" indent="1"/>
    </xf>
    <xf numFmtId="0" fontId="19" fillId="0" borderId="23" xfId="0" applyFont="1" applyBorder="1" applyNumberFormat="1">
      <alignment vertical="top" wrapText="1"/>
    </xf>
    <xf numFmtId="49" fontId="0"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19" fillId="0" borderId="12" xfId="0" applyFont="1" applyBorder="1" applyNumberFormat="1">
      <alignment vertical="center" wrapText="1"/>
    </xf>
    <xf numFmtId="0" fontId="0" fillId="0" borderId="12" xfId="0" applyFont="1" applyBorder="1" applyNumberFormat="1">
      <alignment horizontal="left" vertical="center" wrapText="1" indent="1"/>
    </xf>
    <xf numFmtId="0" fontId="19" fillId="0" borderId="0" xfId="0" applyFont="1" applyNumberFormat="1">
      <alignment vertical="top" wrapText="1"/>
    </xf>
    <xf numFmtId="49" fontId="19" fillId="0" borderId="0" xfId="0" applyFont="1" applyNumberFormat="1">
      <alignment vertical="center" wrapText="1"/>
    </xf>
    <xf numFmtId="0" fontId="28" fillId="0" borderId="0" xfId="0" applyFont="1" applyNumberFormat="1">
      <alignment vertical="center" wrapText="1"/>
    </xf>
    <xf numFmtId="49" fontId="36" fillId="0" borderId="0" xfId="0" applyFont="1" applyNumberFormat="1">
      <alignment vertical="top"/>
    </xf>
    <xf numFmtId="49" fontId="111" fillId="0" borderId="0" xfId="0" applyFont="1" applyNumberFormat="1">
      <alignment horizontal="center" vertical="center" wrapText="1"/>
    </xf>
    <xf numFmtId="0" fontId="0" fillId="38" borderId="12" xfId="0" applyFont="1" applyFill="1" applyBorder="1" applyNumberFormat="1">
      <alignment horizontal="left" vertical="center" wrapText="1" indent="1"/>
      <protection locked="0"/>
    </xf>
    <xf numFmtId="49" fontId="43" fillId="38"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19" fillId="39" borderId="12" xfId="0" applyFont="1" applyFill="1" applyBorder="1" applyNumberFormat="1">
      <alignment horizontal="left" vertical="center" wrapText="1"/>
    </xf>
    <xf numFmtId="0" fontId="0" fillId="0" borderId="12" xfId="0" applyFont="1" applyBorder="1" applyNumberFormat="1">
      <alignment horizontal="left" vertical="center" wrapText="1"/>
    </xf>
    <xf numFmtId="174" fontId="0" fillId="38" borderId="12" xfId="0" applyFont="1" applyFill="1" applyBorder="1" applyNumberFormat="1">
      <alignment horizontal="left" vertical="center" wrapText="1"/>
      <protection locked="0"/>
    </xf>
    <xf numFmtId="0" fontId="115" fillId="38" borderId="12" xfId="0" applyFont="1" applyFill="1" applyBorder="1" applyNumberFormat="1">
      <alignment horizontal="left" vertical="center" wrapText="1"/>
      <protection locked="0"/>
    </xf>
    <xf numFmtId="49" fontId="115" fillId="38" borderId="12" xfId="0" applyFont="1" applyFill="1" applyBorder="1" applyNumberFormat="1">
      <alignment horizontal="left" vertical="center" wrapText="1"/>
      <protection locked="0"/>
    </xf>
    <xf numFmtId="0" fontId="19"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19"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19" fillId="0" borderId="12" xfId="0" applyFont="1" applyBorder="1" applyNumberFormat="1">
      <alignment vertical="top" wrapText="1"/>
    </xf>
    <xf numFmtId="49" fontId="29" fillId="36" borderId="15" xfId="0" applyFont="1" applyFill="1" applyBorder="1" applyNumberFormat="1">
      <alignment horizontal="left" vertical="center" indent="2"/>
    </xf>
    <xf numFmtId="49" fontId="36" fillId="0" borderId="0" xfId="0" applyFont="1" applyNumberFormat="1">
      <alignment vertical="top"/>
    </xf>
    <xf numFmtId="49" fontId="111" fillId="0" borderId="0" xfId="0" applyFont="1" applyNumberFormat="1">
      <alignment horizontal="center" vertical="center" wrapText="1"/>
    </xf>
    <xf numFmtId="49"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protection locked="0"/>
    </xf>
    <xf numFmtId="49" fontId="29" fillId="36" borderId="15" xfId="0" applyFont="1" applyFill="1" applyBorder="1" applyNumberFormat="1">
      <alignment horizontal="left" vertical="center" indent="3"/>
    </xf>
    <xf numFmtId="49" fontId="19" fillId="39" borderId="12" xfId="0" applyFont="1" applyFill="1" applyBorder="1" applyNumberFormat="1">
      <alignment horizontal="left" vertical="center" wrapText="1"/>
    </xf>
    <xf numFmtId="0" fontId="0" fillId="0" borderId="12" xfId="0" applyFont="1" applyBorder="1" applyNumberFormat="1">
      <alignment horizontal="left" vertical="center" wrapText="1" indent="2"/>
    </xf>
    <xf numFmtId="49" fontId="19" fillId="39" borderId="12" xfId="0" applyFont="1" applyFill="1" applyBorder="1" applyNumberFormat="1">
      <alignment horizontal="left" vertical="center" wrapText="1"/>
    </xf>
    <xf numFmtId="49" fontId="19" fillId="0" borderId="0" xfId="0" applyFont="1" applyNumberFormat="1">
      <alignment vertical="top"/>
    </xf>
    <xf numFmtId="49" fontId="37" fillId="0" borderId="0" xfId="0" applyFont="1" applyNumberFormat="1">
      <alignment vertical="top"/>
    </xf>
    <xf numFmtId="0" fontId="19" fillId="0" borderId="0" xfId="0" applyFont="1" applyNumberFormat="1">
      <alignment horizontal="right" vertical="top" wrapText="1"/>
    </xf>
    <xf numFmtId="49" fontId="19" fillId="0" borderId="0" xfId="0" applyFont="1" applyNumberFormat="1">
      <alignment vertical="top" wrapText="1"/>
    </xf>
    <xf numFmtId="49" fontId="19" fillId="0" borderId="0" xfId="0" applyFont="1" applyNumberFormat="1">
      <alignment vertical="top"/>
    </xf>
    <xf numFmtId="0" fontId="0" fillId="0" borderId="13" xfId="0" applyFont="1" applyBorder="1" applyNumberFormat="1">
      <alignment horizontal="center" vertical="center" wrapText="1"/>
    </xf>
    <xf numFmtId="174" fontId="0" fillId="38" borderId="13" xfId="0" applyFont="1" applyFill="1" applyBorder="1" applyNumberFormat="1">
      <alignment horizontal="left" vertical="center" wrapText="1"/>
      <protection locked="0"/>
    </xf>
    <xf numFmtId="174" fontId="0" fillId="38" borderId="14" xfId="0" applyFont="1" applyFill="1" applyBorder="1" applyNumberFormat="1">
      <alignment horizontal="left" vertical="center" wrapText="1"/>
      <protection locked="0"/>
    </xf>
    <xf numFmtId="0" fontId="19" fillId="39"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49" fontId="33" fillId="36" borderId="13" xfId="0" applyFont="1" applyFill="1" applyBorder="1" applyNumberFormat="1">
      <alignment horizontal="center" vertical="top"/>
    </xf>
    <xf numFmtId="0" fontId="0" fillId="0" borderId="13" xfId="0" applyFont="1" applyBorder="1" applyNumberFormat="1">
      <alignment horizontal="center" vertical="center" wrapText="1"/>
    </xf>
    <xf numFmtId="0" fontId="19" fillId="0" borderId="0" xfId="0" applyFont="1" applyNumberFormat="1">
      <alignment horizontal="left" vertical="center" wrapText="1" indent="1"/>
    </xf>
    <xf numFmtId="0" fontId="0" fillId="0" borderId="12" xfId="0" applyFont="1" applyBorder="1" applyNumberFormat="1">
      <alignment horizontal="center" vertical="center" wrapText="1"/>
    </xf>
    <xf numFmtId="0" fontId="19" fillId="0" borderId="15" xfId="0" applyFont="1" applyBorder="1" applyNumberFormat="1">
      <alignment horizontal="left" vertical="top" wrapText="1" indent="1"/>
    </xf>
    <xf numFmtId="0" fontId="35" fillId="0" borderId="0" xfId="0" applyFont="1" applyNumberFormat="1">
      <alignment vertical="center" wrapText="1"/>
    </xf>
    <xf numFmtId="0" fontId="0" fillId="34" borderId="14" xfId="0" applyFont="1" applyFill="1" applyBorder="1" applyNumberFormat="1">
      <alignment horizontal="right" vertical="center" wrapText="1" indent="1"/>
    </xf>
    <xf numFmtId="0" fontId="62" fillId="0" borderId="0" xfId="0" applyFont="1" applyNumberFormat="1">
      <alignment vertical="center" wrapText="1"/>
    </xf>
    <xf numFmtId="49" fontId="24" fillId="34" borderId="0" xfId="0" applyFont="1" applyFill="1" applyNumberFormat="1">
      <alignment horizontal="center" vertical="center" wrapText="1"/>
    </xf>
    <xf numFmtId="49" fontId="24" fillId="34" borderId="19" xfId="0" applyFont="1" applyFill="1" applyBorder="1" applyNumberFormat="1">
      <alignment horizontal="center" vertical="center" wrapText="1"/>
    </xf>
    <xf numFmtId="49" fontId="0" fillId="34"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19" fillId="0" borderId="12" xfId="0" applyFont="1" applyBorder="1" applyNumberFormat="1">
      <alignment horizontal="left" vertical="center" wrapText="1"/>
    </xf>
    <xf numFmtId="0" fontId="28" fillId="34" borderId="0" xfId="0" applyFont="1" applyFill="1" applyNumberFormat="1">
      <alignment horizontal="center" vertical="top" wrapText="1"/>
    </xf>
    <xf numFmtId="0" fontId="0" fillId="33"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29" fillId="36" borderId="27" xfId="0" applyFont="1" applyFill="1" applyBorder="1" applyNumberFormat="1">
      <alignment horizontal="left" vertical="center" indent="2"/>
    </xf>
    <xf numFmtId="49" fontId="29" fillId="36" borderId="15" xfId="0" applyFont="1" applyFill="1" applyBorder="1" applyNumberFormat="1">
      <alignment horizontal="left" vertical="center"/>
    </xf>
    <xf numFmtId="0" fontId="28" fillId="34" borderId="24" xfId="0" applyFont="1" applyFill="1" applyBorder="1" applyNumberFormat="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pplyNumberFormat="1">
      <alignment horizontal="left" vertical="center" wrapText="1" indent="1"/>
    </xf>
    <xf numFmtId="0" fontId="19" fillId="0" borderId="12" xfId="0" applyFont="1" applyBorder="1" applyNumberFormat="1">
      <alignment vertical="top" wrapText="1"/>
    </xf>
    <xf numFmtId="49" fontId="0" fillId="34" borderId="14" xfId="0" applyFont="1" applyFill="1" applyBorder="1" applyNumberFormat="1">
      <alignment horizontal="center" vertical="center" wrapText="1"/>
    </xf>
    <xf numFmtId="0" fontId="19" fillId="0" borderId="36" xfId="0" applyFont="1" applyBorder="1" applyNumberFormat="1">
      <alignment horizontal="left" vertical="top" wrapText="1"/>
    </xf>
    <xf numFmtId="49" fontId="19" fillId="0" borderId="0" xfId="0" applyFont="1" applyNumberFormat="1">
      <alignment vertical="top"/>
    </xf>
    <xf numFmtId="49" fontId="19" fillId="0" borderId="19" xfId="0" applyFont="1" applyBorder="1" applyNumberFormat="1">
      <alignment vertical="top"/>
    </xf>
    <xf numFmtId="0" fontId="35" fillId="0" borderId="0" xfId="0" applyFont="1" applyNumberFormat="1">
      <alignment horizontal="right" vertical="top" wrapText="1"/>
    </xf>
    <xf numFmtId="0" fontId="19" fillId="0" borderId="0" xfId="0" applyFont="1" applyNumberFormat="1">
      <alignment vertical="center" wrapText="1"/>
    </xf>
    <xf numFmtId="49" fontId="19" fillId="0" borderId="0" xfId="0" applyFont="1" applyNumberFormat="1">
      <alignment vertical="top"/>
    </xf>
    <xf numFmtId="49" fontId="0" fillId="38" borderId="12" xfId="0" applyFont="1" applyFill="1" applyBorder="1" applyNumberFormat="1">
      <alignment horizontal="left" vertical="center" wrapText="1" indent="1"/>
      <protection locked="0"/>
    </xf>
    <xf numFmtId="0" fontId="54" fillId="0" borderId="0" xfId="0" applyFont="1" applyNumberFormat="1">
      <alignment vertical="center" wrapText="1"/>
    </xf>
    <xf numFmtId="0" fontId="19" fillId="34" borderId="12" xfId="0" applyFont="1" applyFill="1" applyBorder="1" applyNumberFormat="1">
      <alignment horizontal="center" vertical="center" wrapText="1"/>
    </xf>
    <xf numFmtId="0" fontId="0" fillId="0" borderId="12" xfId="0" applyFont="1" applyBorder="1" applyNumberFormat="1">
      <alignment horizontal="left" vertical="top" wrapText="1"/>
    </xf>
    <xf numFmtId="0" fontId="25" fillId="34" borderId="0" xfId="0" applyFont="1" applyFill="1" applyNumberFormat="1">
      <alignment horizontal="center" vertical="center" wrapText="1"/>
    </xf>
    <xf numFmtId="0" fontId="0" fillId="0" borderId="12" xfId="0" applyFont="1" applyBorder="1" applyNumberFormat="1">
      <alignment horizontal="left" vertical="center" wrapText="1"/>
    </xf>
    <xf numFmtId="0" fontId="19" fillId="0" borderId="19" xfId="0" applyFont="1" applyBorder="1" applyNumberFormat="1">
      <alignment vertical="center" wrapText="1"/>
    </xf>
    <xf numFmtId="49" fontId="29" fillId="0" borderId="19" xfId="0" applyFont="1" applyBorder="1" applyNumberFormat="1">
      <alignment horizontal="left" vertical="center"/>
    </xf>
    <xf numFmtId="49" fontId="29" fillId="0" borderId="19" xfId="0" applyFont="1" applyBorder="1" applyNumberFormat="1">
      <alignment horizontal="left" vertical="center" indent="2"/>
    </xf>
    <xf numFmtId="49" fontId="33" fillId="0" borderId="19" xfId="0" applyFont="1" applyBorder="1" applyNumberFormat="1">
      <alignment horizontal="center" vertical="top"/>
    </xf>
    <xf numFmtId="0" fontId="19" fillId="0" borderId="19" xfId="0" applyFont="1" applyBorder="1" applyNumberFormat="1">
      <alignment horizontal="left" vertical="top" wrapText="1"/>
    </xf>
    <xf numFmtId="49" fontId="19" fillId="0" borderId="0" xfId="0" applyFont="1" applyNumberFormat="1">
      <alignment vertical="center" wrapText="1"/>
    </xf>
    <xf numFmtId="0" fontId="73" fillId="0" borderId="0" xfId="0" applyFont="1" applyNumberFormat="1">
      <alignment vertical="center" wrapText="1"/>
    </xf>
    <xf numFmtId="0" fontId="19" fillId="0" borderId="12" xfId="0" applyFont="1" applyBorder="1" applyNumberFormat="1">
      <alignment horizontal="center" vertical="center" wrapText="1"/>
    </xf>
    <xf numFmtId="3" fontId="19" fillId="0" borderId="14" xfId="0" applyFont="1" applyBorder="1" applyNumberFormat="1">
      <alignment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left" vertical="center" wrapText="1" indent="1"/>
    </xf>
    <xf numFmtId="4" fontId="19" fillId="0" borderId="14" xfId="0" applyFont="1" applyBorder="1" applyNumberFormat="1">
      <alignment horizontal="right" vertical="center" wrapText="1"/>
    </xf>
    <xf numFmtId="4" fontId="19" fillId="0" borderId="30" xfId="0" applyFont="1" applyBorder="1" applyNumberFormat="1">
      <alignment horizontal="right" vertical="center" wrapText="1"/>
    </xf>
    <xf numFmtId="0" fontId="43" fillId="0" borderId="0" xfId="0" applyFont="1" applyNumberFormat="1">
      <alignment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19" fillId="34" borderId="0" xfId="0" applyFont="1" applyFill="1" applyNumberFormat="1"/>
    <xf numFmtId="49" fontId="20"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xf>
    <xf numFmtId="0" fontId="32" fillId="34" borderId="0" xfId="0" applyFont="1" applyFill="1" applyNumberFormat="1">
      <alignment horizontal="center" vertical="center" wrapText="1"/>
    </xf>
    <xf numFmtId="0" fontId="20" fillId="34" borderId="0" xfId="0" applyFont="1" applyFill="1" applyNumberFormat="1"/>
    <xf numFmtId="0" fontId="19" fillId="34" borderId="12" xfId="0" applyFont="1" applyFill="1" applyBorder="1" applyNumberFormat="1">
      <alignment horizontal="center" vertical="center" wrapText="1"/>
    </xf>
    <xf numFmtId="49" fontId="19" fillId="0" borderId="0" xfId="0" applyFont="1" applyNumberFormat="1">
      <alignment vertical="top"/>
    </xf>
    <xf numFmtId="49" fontId="36"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wrapText="1"/>
    </xf>
    <xf numFmtId="49" fontId="19" fillId="0" borderId="12" xfId="0" applyFont="1" applyBorder="1" applyNumberFormat="1">
      <alignment horizontal="center" vertical="center" wrapText="1"/>
    </xf>
    <xf numFmtId="49" fontId="19" fillId="38" borderId="12" xfId="0" applyFont="1" applyFill="1" applyBorder="1" applyNumberFormat="1">
      <alignment horizontal="left" vertical="center" wrapText="1"/>
      <protection locked="0"/>
    </xf>
    <xf numFmtId="0" fontId="37" fillId="0" borderId="0" xfId="0" applyFont="1" applyNumberFormat="1">
      <alignment vertical="top"/>
    </xf>
    <xf numFmtId="49" fontId="37" fillId="0" borderId="0" xfId="0" applyFont="1" applyNumberFormat="1">
      <alignment vertical="top"/>
    </xf>
    <xf numFmtId="49" fontId="19" fillId="0" borderId="0" xfId="0" applyFont="1" applyNumberFormat="1">
      <alignment vertical="top"/>
    </xf>
    <xf numFmtId="49" fontId="29" fillId="36" borderId="15" xfId="0" applyFont="1" applyFill="1" applyBorder="1" applyNumberFormat="1">
      <alignment horizontal="left" vertical="center"/>
    </xf>
    <xf numFmtId="49" fontId="33" fillId="36" borderId="15" xfId="0" applyFont="1" applyFill="1" applyBorder="1" applyNumberFormat="1">
      <alignment horizontal="center" vertical="top"/>
    </xf>
    <xf numFmtId="49" fontId="19" fillId="0" borderId="0" xfId="0" applyFont="1" applyNumberFormat="1">
      <alignment horizontal="left" vertical="top" wrapText="1"/>
    </xf>
    <xf numFmtId="0" fontId="25" fillId="34" borderId="0" xfId="0" applyFont="1" applyFill="1" applyNumberFormat="1">
      <alignment horizontal="center" vertical="center"/>
    </xf>
    <xf numFmtId="0" fontId="19" fillId="34" borderId="0" xfId="0" applyFont="1" applyFill="1" applyNumberFormat="1"/>
    <xf numFmtId="0" fontId="19" fillId="0" borderId="13" xfId="0" applyFont="1" applyBorder="1" applyNumberFormat="1">
      <alignment horizontal="left" vertical="center" wrapText="1" indent="1"/>
    </xf>
    <xf numFmtId="0" fontId="19" fillId="0" borderId="14" xfId="0" applyFont="1" applyBorder="1" applyNumberFormat="1">
      <alignment horizontal="left" vertical="center" wrapText="1" indent="1"/>
    </xf>
    <xf numFmtId="0" fontId="54" fillId="0" borderId="0" xfId="0" applyFont="1" applyNumberFormat="1"/>
    <xf numFmtId="0" fontId="19" fillId="0" borderId="12" xfId="0" applyFont="1" applyBorder="1" applyNumberFormat="1">
      <alignment horizontal="center" vertical="center" wrapText="1"/>
    </xf>
    <xf numFmtId="0" fontId="19" fillId="34" borderId="17" xfId="0" applyFont="1" applyFill="1" applyBorder="1" applyNumberFormat="1">
      <alignment horizontal="center" vertical="center"/>
    </xf>
    <xf numFmtId="49" fontId="19" fillId="0" borderId="17" xfId="0" applyFont="1" applyBorder="1" applyNumberFormat="1">
      <alignment horizontal="left" vertical="center" wrapText="1"/>
    </xf>
    <xf numFmtId="0" fontId="25" fillId="34" borderId="0" xfId="0" applyFont="1" applyFill="1" applyNumberFormat="1">
      <alignment horizontal="center" vertical="center" wrapText="1"/>
    </xf>
    <xf numFmtId="0" fontId="19" fillId="34" borderId="12" xfId="0" applyFont="1" applyFill="1" applyBorder="1" applyNumberFormat="1">
      <alignment horizontal="center" vertical="center"/>
    </xf>
    <xf numFmtId="49" fontId="19" fillId="38" borderId="12" xfId="0" applyFont="1" applyFill="1" applyBorder="1" applyNumberFormat="1">
      <alignment horizontal="left" vertical="center" wrapText="1"/>
      <protection locked="0"/>
    </xf>
    <xf numFmtId="49" fontId="39" fillId="36" borderId="14" xfId="0" applyFont="1" applyFill="1" applyBorder="1" applyNumberFormat="1">
      <alignment horizontal="center" vertical="center"/>
    </xf>
    <xf numFmtId="49" fontId="29" fillId="36" borderId="13" xfId="0" applyFont="1" applyFill="1" applyBorder="1" applyNumberFormat="1">
      <alignment horizontal="left" vertical="center"/>
    </xf>
    <xf numFmtId="49" fontId="34" fillId="0" borderId="0" xfId="0" applyFont="1" applyNumberFormat="1">
      <alignment horizontal="right" vertical="top"/>
    </xf>
    <xf numFmtId="49" fontId="19" fillId="0" borderId="0" xfId="0" applyFont="1" applyNumberFormat="1">
      <alignment horizontal="left" vertical="top" wrapText="1"/>
    </xf>
    <xf numFmtId="49" fontId="34" fillId="0" borderId="0" xfId="0" applyFont="1" applyNumberFormat="1">
      <alignment vertical="top"/>
    </xf>
    <xf numFmtId="0" fontId="19" fillId="0" borderId="0" xfId="0" applyFont="1" applyNumberFormat="1"/>
    <xf numFmtId="0" fontId="25" fillId="0" borderId="0" xfId="0" applyFont="1" applyNumberFormat="1">
      <alignment horizontal="center" vertical="center"/>
    </xf>
    <xf numFmtId="49" fontId="19" fillId="34" borderId="12" xfId="0" applyFont="1" applyFill="1" applyBorder="1" applyNumberFormat="1">
      <alignment horizontal="center" vertical="center"/>
    </xf>
    <xf numFmtId="49" fontId="19" fillId="38" borderId="12" xfId="0" applyFont="1" applyFill="1" applyBorder="1" applyNumberFormat="1">
      <alignment horizontal="left" vertical="center" wrapText="1"/>
      <protection locked="0"/>
    </xf>
    <xf numFmtId="0" fontId="19" fillId="38" borderId="12" xfId="0" applyFont="1" applyFill="1" applyBorder="1" applyNumberFormat="1">
      <alignment horizontal="center" vertical="center" wrapText="1"/>
      <protection locked="0"/>
    </xf>
    <xf numFmtId="0" fontId="36" fillId="34" borderId="0" xfId="0" applyFont="1" applyFill="1" applyNumberFormat="1"/>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19" fillId="38" borderId="12" xfId="0" applyFont="1" applyFill="1" applyBorder="1" applyNumberFormat="1">
      <alignment horizontal="left" vertical="center" wrapText="1"/>
      <protection locked="0"/>
    </xf>
    <xf numFmtId="0" fontId="58" fillId="34" borderId="0" xfId="0" applyFont="1" applyFill="1" applyNumberFormat="1"/>
    <xf numFmtId="0" fontId="19" fillId="34" borderId="12" xfId="0" applyFont="1" applyFill="1" applyBorder="1" applyNumberFormat="1">
      <alignment horizontal="left" vertical="center" wrapText="1"/>
    </xf>
    <xf numFmtId="0" fontId="19" fillId="0" borderId="12" xfId="0" applyFont="1" applyBorder="1" applyNumberFormat="1">
      <alignment horizontal="center" vertical="center" wrapText="1"/>
    </xf>
    <xf numFmtId="49" fontId="19" fillId="0" borderId="12" xfId="0" applyFont="1" applyBorder="1" applyNumberFormat="1">
      <alignment horizontal="center" vertical="center"/>
    </xf>
    <xf numFmtId="0" fontId="19" fillId="0" borderId="12" xfId="0" applyFont="1" applyBorder="1" applyNumberFormat="1">
      <alignment vertical="center" wrapText="1"/>
    </xf>
    <xf numFmtId="0" fontId="19" fillId="34" borderId="12" xfId="0" applyFont="1" applyFill="1" applyBorder="1" applyNumberFormat="1">
      <alignment horizontal="left" vertical="center" wrapText="1" indent="1"/>
    </xf>
    <xf numFmtId="49" fontId="19" fillId="35" borderId="12" xfId="0" applyFont="1" applyFill="1" applyBorder="1" applyNumberFormat="1">
      <alignment horizontal="left" vertical="center" wrapText="1"/>
      <protection locked="0"/>
    </xf>
    <xf numFmtId="0" fontId="37" fillId="34" borderId="0" xfId="0" applyFont="1" applyFill="1" applyNumberFormat="1">
      <alignment horizontal="center" vertical="center" wrapText="1"/>
    </xf>
    <xf numFmtId="0" fontId="19" fillId="34" borderId="24" xfId="0" applyFont="1" applyFill="1" applyBorder="1" applyNumberFormat="1">
      <alignment horizontal="center" vertical="center" wrapText="1"/>
    </xf>
    <xf numFmtId="0" fontId="0" fillId="34" borderId="17" xfId="0" applyFont="1" applyFill="1" applyBorder="1" applyNumberFormat="1">
      <alignment horizontal="left" vertical="top" wrapText="1"/>
    </xf>
    <xf numFmtId="0" fontId="57" fillId="34" borderId="0" xfId="0" applyFont="1" applyFill="1" applyNumberFormat="1"/>
    <xf numFmtId="0" fontId="63" fillId="34" borderId="0" xfId="0" applyFont="1" applyFill="1" applyNumberFormat="1">
      <alignment vertical="center" wrapText="1"/>
    </xf>
    <xf numFmtId="0" fontId="37" fillId="34" borderId="12" xfId="0" applyFont="1" applyFill="1" applyBorder="1" applyNumberFormat="1">
      <alignment horizontal="center" vertical="center"/>
    </xf>
    <xf numFmtId="0" fontId="0" fillId="34" borderId="36" xfId="0" applyFont="1" applyFill="1" applyBorder="1" applyNumberFormat="1">
      <alignment horizontal="left" vertical="top" wrapText="1"/>
    </xf>
    <xf numFmtId="0" fontId="0" fillId="34" borderId="23" xfId="0" applyFont="1" applyFill="1" applyBorder="1" applyNumberFormat="1">
      <alignment horizontal="left" vertical="top" wrapText="1"/>
    </xf>
    <xf numFmtId="0" fontId="74" fillId="34" borderId="0" xfId="0" applyFont="1" applyFill="1" applyNumberFormat="1"/>
    <xf numFmtId="0" fontId="19" fillId="0" borderId="12" xfId="0" applyFont="1" applyBorder="1" applyNumberFormat="1">
      <alignment horizontal="center" vertical="center" wrapText="1"/>
    </xf>
    <xf numFmtId="49" fontId="19" fillId="39" borderId="12" xfId="0" applyFont="1" applyFill="1" applyBorder="1" applyNumberFormat="1">
      <alignment horizontal="left" vertical="center" wrapText="1"/>
    </xf>
    <xf numFmtId="14" fontId="19" fillId="38" borderId="12" xfId="0" applyFont="1" applyFill="1" applyBorder="1" applyNumberFormat="1">
      <alignment horizontal="left" vertical="center" wrapText="1" indent="1"/>
      <protection locked="0"/>
    </xf>
    <xf numFmtId="0" fontId="102" fillId="0" borderId="0" xfId="0" applyFont="1" applyNumberFormat="1">
      <alignment vertical="center"/>
    </xf>
    <xf numFmtId="0" fontId="25" fillId="0" borderId="0" xfId="0" applyFont="1" applyNumberFormat="1">
      <alignment horizontal="center" vertical="center" wrapText="1"/>
    </xf>
    <xf numFmtId="4" fontId="19" fillId="0" borderId="17" xfId="0" applyFont="1" applyBorder="1" applyNumberFormat="1">
      <alignment horizontal="center" vertical="center" wrapText="1"/>
    </xf>
    <xf numFmtId="171" fontId="19" fillId="0" borderId="37" xfId="0" applyFont="1" applyBorder="1" applyNumberFormat="1">
      <alignment horizontal="center" vertical="center" wrapText="1"/>
    </xf>
    <xf numFmtId="171" fontId="19" fillId="0" borderId="17" xfId="0" applyFont="1" applyBorder="1" applyNumberFormat="1">
      <alignment horizontal="center" vertical="center" wrapText="1"/>
    </xf>
    <xf numFmtId="4" fontId="19" fillId="0" borderId="23" xfId="0" applyFont="1" applyBorder="1" applyNumberFormat="1">
      <alignment horizontal="center" vertical="center" wrapText="1"/>
    </xf>
    <xf numFmtId="14" fontId="19" fillId="39" borderId="12" xfId="0" applyFont="1" applyFill="1" applyBorder="1" applyNumberFormat="1">
      <alignment horizontal="left" vertical="center" wrapText="1"/>
    </xf>
    <xf numFmtId="49" fontId="19" fillId="0" borderId="20" xfId="0" applyFont="1" applyBorder="1" applyNumberFormat="1">
      <alignment horizontal="left" vertical="top" wrapText="1"/>
    </xf>
    <xf numFmtId="49" fontId="39"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19" fillId="0" borderId="29" xfId="0" applyFont="1" applyBorder="1" applyNumberFormat="1">
      <alignment horizontal="left" vertical="top" wrapText="1"/>
    </xf>
    <xf numFmtId="0" fontId="102" fillId="0" borderId="0" xfId="0" applyFont="1" applyNumberFormat="1">
      <alignment vertical="center" wrapText="1"/>
    </xf>
    <xf numFmtId="49" fontId="0" fillId="0" borderId="0" xfId="0" applyFont="1" applyNumberFormat="1">
      <alignment vertical="top"/>
    </xf>
    <xf numFmtId="0" fontId="19" fillId="33" borderId="23" xfId="0" applyFont="1" applyFill="1" applyBorder="1" applyNumberFormat="1">
      <alignment horizontal="left" vertical="center" wrapText="1" indent="1"/>
    </xf>
    <xf numFmtId="174" fontId="37" fillId="0" borderId="0" xfId="0" applyFont="1" applyNumberFormat="1">
      <alignment horizontal="center" vertical="center" wrapText="1"/>
    </xf>
    <xf numFmtId="171" fontId="19" fillId="0" borderId="17"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5" xfId="0" applyFont="1" applyBorder="1" applyNumberFormat="1">
      <alignment horizontal="center" vertical="center" wrapText="1"/>
    </xf>
    <xf numFmtId="171" fontId="19" fillId="0" borderId="13" xfId="0" applyFont="1" applyBorder="1" applyNumberFormat="1">
      <alignment horizontal="center" vertical="center" wrapText="1"/>
    </xf>
    <xf numFmtId="4" fontId="19" fillId="0" borderId="36" xfId="0" applyFont="1" applyBorder="1" applyNumberFormat="1">
      <alignment horizontal="center" vertical="center" wrapText="1"/>
    </xf>
    <xf numFmtId="171" fontId="19" fillId="0" borderId="23" xfId="0" applyFont="1" applyBorder="1" applyNumberFormat="1">
      <alignment horizontal="center" vertical="center" wrapText="1"/>
    </xf>
    <xf numFmtId="171" fontId="19" fillId="0" borderId="23" xfId="0" applyFont="1" applyBorder="1" applyNumberFormat="1">
      <alignment horizontal="center" vertical="center" wrapText="1"/>
    </xf>
    <xf numFmtId="0" fontId="19" fillId="0" borderId="23" xfId="0" applyFont="1" applyBorder="1" applyNumberFormat="1">
      <alignment horizontal="center" vertical="center" wrapText="1"/>
    </xf>
    <xf numFmtId="14" fontId="19" fillId="38" borderId="23" xfId="0" applyFont="1" applyFill="1" applyBorder="1" applyNumberFormat="1">
      <alignment horizontal="left" vertical="center" wrapText="1" indent="1"/>
      <protection locked="0"/>
    </xf>
    <xf numFmtId="0" fontId="19" fillId="33" borderId="12" xfId="0" applyFont="1" applyFill="1" applyBorder="1" applyNumberFormat="1">
      <alignment horizontal="left" vertical="center" wrapText="1"/>
    </xf>
    <xf numFmtId="14"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49" fontId="19" fillId="39" borderId="12" xfId="0" applyFont="1" applyFill="1" applyBorder="1" applyNumberFormat="1">
      <alignment horizontal="left" vertical="center" wrapText="1"/>
    </xf>
    <xf numFmtId="49" fontId="39" fillId="36" borderId="27" xfId="0" applyFont="1" applyFill="1" applyBorder="1" applyNumberFormat="1">
      <alignment horizontal="right" vertical="center" wrapText="1"/>
    </xf>
    <xf numFmtId="49" fontId="43" fillId="36" borderId="27" xfId="0" applyFont="1" applyFill="1" applyBorder="1" applyNumberFormat="1">
      <alignment horizontal="left" vertical="center" wrapText="1"/>
    </xf>
    <xf numFmtId="49" fontId="43" fillId="36" borderId="23" xfId="0" applyFont="1" applyFill="1" applyBorder="1" applyNumberFormat="1">
      <alignment horizontal="left" vertical="center" wrapText="1"/>
    </xf>
    <xf numFmtId="0" fontId="37" fillId="0" borderId="27" xfId="0" applyFont="1" applyBorder="1" applyNumberFormat="1">
      <alignment horizontal="center" vertical="center" wrapText="1"/>
    </xf>
    <xf numFmtId="0" fontId="31" fillId="0" borderId="0" xfId="0" applyFont="1" applyNumberFormat="1">
      <alignment horizontal="center" vertical="center" wrapText="1"/>
    </xf>
    <xf numFmtId="0" fontId="19" fillId="0" borderId="0" xfId="0" applyFont="1" applyNumberFormat="1">
      <alignment horizontal="center" vertical="center" wrapText="1"/>
    </xf>
    <xf numFmtId="171" fontId="34" fillId="0" borderId="58" xfId="0" applyFont="1" applyBorder="1" applyNumberFormat="1">
      <alignment horizontal="center" vertical="center" wrapText="1"/>
    </xf>
    <xf numFmtId="171" fontId="34" fillId="0" borderId="58" xfId="0" applyFont="1" applyBorder="1" applyNumberFormat="1">
      <alignment horizontal="center" vertical="center" wrapText="1"/>
    </xf>
    <xf numFmtId="171" fontId="34" fillId="0" borderId="57" xfId="0" applyFont="1" applyBorder="1" applyNumberFormat="1">
      <alignment horizontal="center" vertical="center" wrapText="1"/>
    </xf>
    <xf numFmtId="171" fontId="34" fillId="0" borderId="51" xfId="0" applyFont="1" applyBorder="1" applyNumberFormat="1">
      <alignment horizontal="center" vertical="center" wrapText="1"/>
    </xf>
    <xf numFmtId="171" fontId="34" fillId="0" borderId="76" xfId="0" applyFont="1" applyBorder="1" applyNumberFormat="1">
      <alignment horizontal="center" vertical="center" wrapText="1"/>
    </xf>
    <xf numFmtId="0" fontId="37" fillId="0" borderId="0" xfId="0" applyFont="1" applyNumberFormat="1">
      <alignment horizontal="center" vertical="center"/>
    </xf>
    <xf numFmtId="0" fontId="37" fillId="0" borderId="0" xfId="0" applyFont="1" applyNumberFormat="1">
      <alignment horizontal="center" vertical="center"/>
    </xf>
    <xf numFmtId="0" fontId="45" fillId="0" borderId="0" xfId="0" applyFont="1" applyNumberFormat="1">
      <alignment horizontal="center" vertical="center"/>
    </xf>
    <xf numFmtId="171" fontId="19" fillId="0" borderId="12" xfId="0" applyFont="1" applyBorder="1" applyNumberFormat="1">
      <alignment horizontal="center" vertical="center" wrapText="1"/>
    </xf>
    <xf numFmtId="0" fontId="19" fillId="33" borderId="23" xfId="0" applyFont="1" applyFill="1" applyBorder="1" applyNumberFormat="1">
      <alignment horizontal="left" vertical="center" wrapText="1"/>
    </xf>
    <xf numFmtId="14" fontId="19" fillId="39" borderId="23" xfId="0" applyFont="1" applyFill="1" applyBorder="1" applyNumberFormat="1">
      <alignment horizontal="left" vertical="center" wrapText="1"/>
    </xf>
    <xf numFmtId="49" fontId="19" fillId="39" borderId="30" xfId="0" applyFont="1" applyFill="1" applyBorder="1" applyNumberFormat="1">
      <alignment horizontal="left" vertical="center" wrapText="1"/>
    </xf>
    <xf numFmtId="49" fontId="43" fillId="38" borderId="27" xfId="0" applyFont="1" applyFill="1" applyBorder="1" applyNumberFormat="1">
      <alignment horizontal="left" vertical="center" wrapText="1"/>
      <protection locked="0"/>
    </xf>
    <xf numFmtId="49" fontId="43" fillId="38" borderId="30" xfId="0" applyFont="1" applyFill="1" applyBorder="1" applyNumberFormat="1">
      <alignment horizontal="left" vertical="center" wrapText="1"/>
      <protection locked="0"/>
    </xf>
    <xf numFmtId="49" fontId="43" fillId="38" borderId="23" xfId="0" applyFont="1" applyFill="1" applyBorder="1" applyNumberFormat="1">
      <alignment horizontal="left" vertical="center" wrapText="1"/>
      <protection locked="0"/>
    </xf>
    <xf numFmtId="49" fontId="19" fillId="39" borderId="23" xfId="0" applyFont="1" applyFill="1" applyBorder="1" applyNumberFormat="1">
      <alignment horizontal="left" vertical="center" wrapText="1"/>
    </xf>
    <xf numFmtId="49" fontId="0" fillId="36" borderId="12" xfId="0" applyFont="1" applyFill="1" applyBorder="1" applyNumberFormat="1">
      <alignment horizontal="right" vertical="center" wrapText="1"/>
    </xf>
    <xf numFmtId="0" fontId="19" fillId="0" borderId="0" xfId="0" applyFont="1" applyNumberFormat="1"/>
    <xf numFmtId="49" fontId="19" fillId="0" borderId="12" xfId="0" applyFont="1" applyBorder="1" applyNumberFormat="1">
      <alignment horizontal="left" vertical="center" wrapText="1"/>
    </xf>
    <xf numFmtId="49" fontId="29" fillId="36" borderId="13" xfId="0" applyFont="1" applyFill="1" applyBorder="1" applyNumberFormat="1">
      <alignment horizontal="left" vertical="center"/>
    </xf>
    <xf numFmtId="49" fontId="0" fillId="0" borderId="15" xfId="0" applyFont="1" applyBorder="1" applyNumberFormat="1">
      <alignment horizontal="left" vertical="center" indent="1"/>
    </xf>
    <xf numFmtId="49" fontId="55" fillId="0" borderId="0" xfId="0" applyFont="1" applyNumberFormat="1">
      <alignment vertical="top"/>
    </xf>
    <xf numFmtId="49" fontId="0" fillId="0" borderId="25" xfId="0" applyFont="1" applyBorder="1" applyNumberFormat="1">
      <alignment horizontal="center" vertical="center"/>
    </xf>
    <xf numFmtId="49" fontId="0" fillId="0" borderId="0" xfId="0" applyFont="1" applyNumberFormat="1">
      <alignment vertical="top"/>
    </xf>
    <xf numFmtId="49" fontId="0" fillId="37" borderId="0" xfId="0" applyFont="1" applyFill="1" applyNumberFormat="1">
      <alignment vertical="top"/>
    </xf>
    <xf numFmtId="0" fontId="25" fillId="34" borderId="0" xfId="0" applyFont="1" applyFill="1" applyNumberFormat="1">
      <alignment horizontal="center" vertical="center" wrapText="1"/>
    </xf>
    <xf numFmtId="0" fontId="25" fillId="34" borderId="0" xfId="0" applyFont="1" applyFill="1" applyNumberFormat="1">
      <alignment horizontal="center"/>
    </xf>
    <xf numFmtId="49" fontId="19" fillId="35" borderId="12" xfId="0" applyFont="1" applyFill="1" applyBorder="1" applyNumberFormat="1">
      <alignment horizontal="left" vertical="center" wrapText="1"/>
      <protection locked="0"/>
    </xf>
    <xf numFmtId="0" fontId="31" fillId="0" borderId="0" xfId="0" applyFont="1" applyNumberFormat="1">
      <alignment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37" fillId="0" borderId="12" xfId="0" applyFont="1" applyBorder="1" applyNumberFormat="1">
      <alignment horizontal="center" vertical="center"/>
    </xf>
    <xf numFmtId="0" fontId="19" fillId="0" borderId="23" xfId="0" applyFont="1" applyBorder="1" applyNumberFormat="1">
      <alignment horizontal="center" vertical="center" wrapText="1"/>
    </xf>
    <xf numFmtId="0" fontId="36" fillId="0" borderId="23" xfId="0" applyFont="1" applyBorder="1" applyNumberFormat="1">
      <alignment horizontal="center" vertical="center" wrapText="1"/>
    </xf>
    <xf numFmtId="0" fontId="36" fillId="0" borderId="0" xfId="0" applyFont="1" applyNumberFormat="1">
      <alignment horizontal="center" vertical="center" wrapText="1"/>
    </xf>
    <xf numFmtId="0" fontId="36" fillId="0" borderId="12" xfId="0" applyFont="1" applyBorder="1" applyNumberFormat="1">
      <alignment horizontal="center" vertical="center" wrapText="1"/>
    </xf>
    <xf numFmtId="14" fontId="19" fillId="39" borderId="12" xfId="0" applyFont="1" applyFill="1" applyBorder="1" applyNumberFormat="1">
      <alignment horizontal="left" vertical="center" wrapText="1" indent="1"/>
    </xf>
    <xf numFmtId="49" fontId="19" fillId="33" borderId="12" xfId="0" applyFont="1" applyFill="1" applyBorder="1" applyNumberFormat="1">
      <alignment horizontal="center" vertical="center" wrapText="1"/>
    </xf>
    <xf numFmtId="49" fontId="41" fillId="37" borderId="0" xfId="0" applyFont="1" applyFill="1" applyNumberFormat="1">
      <alignment vertical="top"/>
    </xf>
    <xf numFmtId="49" fontId="41" fillId="0" borderId="0" xfId="0" applyFont="1" applyNumberFormat="1">
      <alignment vertical="top"/>
    </xf>
    <xf numFmtId="0" fontId="0" fillId="0" borderId="0" xfId="0" applyFont="1" applyNumberFormat="1">
      <alignment vertical="center"/>
    </xf>
    <xf numFmtId="0" fontId="24" fillId="0" borderId="24" xfId="0" applyFont="1" applyBorder="1" applyNumberFormat="1">
      <alignment horizontal="center" vertical="center" wrapText="1"/>
    </xf>
    <xf numFmtId="14" fontId="71" fillId="0" borderId="17" xfId="0" applyFont="1" applyBorder="1" applyNumberFormat="1">
      <alignment horizontal="center" vertical="center" wrapText="1"/>
    </xf>
    <xf numFmtId="0" fontId="65" fillId="0" borderId="12" xfId="0" applyFont="1" applyBorder="1" applyNumberFormat="1">
      <alignment horizontal="left" vertical="center" wrapText="1" indent="1"/>
    </xf>
    <xf numFmtId="0" fontId="71" fillId="0" borderId="17" xfId="0" applyFont="1" applyBorder="1" applyNumberFormat="1">
      <alignment horizontal="center" vertical="center" wrapText="1"/>
    </xf>
    <xf numFmtId="49" fontId="19" fillId="0" borderId="12" xfId="0" applyFont="1" applyBorder="1" applyNumberFormat="1">
      <alignment horizontal="center" vertical="center" wrapText="1"/>
    </xf>
    <xf numFmtId="0" fontId="64" fillId="0" borderId="0" xfId="0" applyFont="1" applyNumberFormat="1">
      <alignment vertical="center"/>
    </xf>
    <xf numFmtId="14" fontId="71" fillId="0" borderId="36" xfId="0" applyFont="1" applyBorder="1" applyNumberFormat="1">
      <alignment horizontal="center" vertical="center" wrapText="1"/>
    </xf>
    <xf numFmtId="0" fontId="65" fillId="0" borderId="12" xfId="0" applyFont="1" applyBorder="1" applyNumberFormat="1">
      <alignment horizontal="left" vertical="top" indent="1"/>
    </xf>
    <xf numFmtId="49" fontId="0" fillId="0" borderId="12" xfId="0" applyFont="1" applyBorder="1" applyNumberFormat="1">
      <alignment vertical="top"/>
    </xf>
    <xf numFmtId="0" fontId="24" fillId="0" borderId="12" xfId="0" applyFont="1" applyBorder="1" applyNumberFormat="1">
      <alignment horizontal="center" vertical="center" wrapText="1"/>
    </xf>
    <xf numFmtId="0" fontId="19" fillId="39" borderId="12" xfId="0" applyFont="1" applyFill="1" applyBorder="1" applyNumberFormat="1">
      <alignment horizontal="left" vertical="center" wrapText="1" indent="1"/>
    </xf>
    <xf numFmtId="0" fontId="24" fillId="0" borderId="12" xfId="0" applyFont="1" applyBorder="1" applyNumberFormat="1">
      <alignment horizontal="center" vertical="center" wrapText="1"/>
    </xf>
    <xf numFmtId="49" fontId="19" fillId="0" borderId="13"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49" fontId="19" fillId="34" borderId="0" xfId="0" applyFont="1" applyFill="1" applyNumberFormat="1">
      <alignment horizontal="center" vertical="center" wrapText="1"/>
    </xf>
    <xf numFmtId="0" fontId="19" fillId="34" borderId="0" xfId="0" applyFont="1" applyFill="1" applyNumberFormat="1">
      <alignment horizontal="center" vertical="top" wrapText="1"/>
    </xf>
    <xf numFmtId="49" fontId="19" fillId="39" borderId="14" xfId="0" applyFont="1" applyFill="1" applyBorder="1" applyNumberFormat="1">
      <alignment horizontal="left" vertical="center" wrapText="1"/>
    </xf>
    <xf numFmtId="49" fontId="0" fillId="0" borderId="12" xfId="0" applyFont="1" applyBorder="1" applyNumberFormat="1">
      <alignment vertical="top"/>
    </xf>
    <xf numFmtId="49" fontId="19" fillId="0" borderId="0" xfId="0" applyFont="1" applyNumberFormat="1">
      <alignment vertical="top"/>
    </xf>
    <xf numFmtId="0" fontId="25" fillId="34" borderId="0" xfId="0" applyFont="1" applyFill="1" applyNumberFormat="1">
      <alignment vertical="top" wrapText="1"/>
    </xf>
    <xf numFmtId="0" fontId="19" fillId="34" borderId="14" xfId="0" applyFont="1" applyFill="1" applyBorder="1" applyNumberFormat="1">
      <alignment horizontal="center" vertical="center" wrapText="1"/>
    </xf>
    <xf numFmtId="0" fontId="37" fillId="34" borderId="12" xfId="0" applyFont="1" applyFill="1" applyBorder="1" applyNumberFormat="1">
      <alignment horizontal="center" vertical="center" wrapText="1"/>
    </xf>
    <xf numFmtId="14" fontId="19" fillId="39" borderId="29" xfId="0" applyFont="1" applyFill="1" applyBorder="1" applyNumberFormat="1">
      <alignment horizontal="left" vertical="center" wrapText="1"/>
    </xf>
    <xf numFmtId="49" fontId="112" fillId="38"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19" fillId="39"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25" fillId="0" borderId="0" xfId="0" applyFont="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49" fontId="0" fillId="34" borderId="12" xfId="0" applyFont="1" applyFill="1" applyBorder="1" applyNumberFormat="1">
      <alignment horizontal="center" vertical="center" wrapText="1"/>
    </xf>
    <xf numFmtId="0" fontId="0" fillId="38" borderId="14" xfId="0" applyFont="1" applyFill="1" applyBorder="1" applyNumberFormat="1">
      <alignment horizontal="left" vertical="center" wrapText="1" indent="2"/>
      <protection locked="0"/>
    </xf>
    <xf numFmtId="0" fontId="25" fillId="0" borderId="24" xfId="0" applyFont="1" applyBorder="1" applyNumberFormat="1">
      <alignment horizontal="center" vertical="center" wrapText="1"/>
    </xf>
    <xf numFmtId="49" fontId="19" fillId="0" borderId="12" xfId="0" applyFont="1" applyBorder="1" applyNumberFormat="1">
      <alignment horizontal="center" vertical="top" wrapText="1"/>
    </xf>
    <xf numFmtId="0" fontId="0" fillId="33" borderId="12" xfId="0" applyFont="1" applyFill="1" applyBorder="1" applyNumberFormat="1">
      <alignment horizontal="left" vertical="top" wrapText="1" indent="1"/>
    </xf>
    <xf numFmtId="49" fontId="19" fillId="39" borderId="17" xfId="0" applyFont="1" applyFill="1" applyBorder="1" applyNumberFormat="1">
      <alignment horizontal="center" vertical="top" wrapText="1"/>
    </xf>
    <xf numFmtId="174" fontId="0" fillId="38" borderId="12" xfId="0" applyFont="1" applyFill="1" applyBorder="1" applyNumberFormat="1">
      <alignment horizontal="center" vertical="top" wrapText="1"/>
      <protection locked="0"/>
    </xf>
    <xf numFmtId="174" fontId="0" fillId="35" borderId="12" xfId="0" applyFont="1" applyFill="1" applyBorder="1" applyNumberFormat="1">
      <alignment horizontal="center" vertical="top" wrapText="1"/>
      <protection locked="0"/>
    </xf>
    <xf numFmtId="49" fontId="19" fillId="39" borderId="12" xfId="0" applyFont="1" applyFill="1" applyBorder="1" applyNumberFormat="1">
      <alignment horizontal="left" vertical="top" wrapText="1"/>
    </xf>
    <xf numFmtId="49" fontId="19" fillId="38" borderId="12" xfId="0" applyFont="1" applyFill="1" applyBorder="1" applyNumberFormat="1">
      <alignment horizontal="left" vertical="top" wrapText="1"/>
      <protection locked="0"/>
    </xf>
    <xf numFmtId="49" fontId="0" fillId="33" borderId="12" xfId="0" applyFont="1" applyFill="1" applyBorder="1" applyNumberFormat="1">
      <alignment horizontal="center" vertical="top" wrapText="1"/>
    </xf>
    <xf numFmtId="0" fontId="19" fillId="33" borderId="12" xfId="0" applyFont="1" applyFill="1" applyBorder="1" applyNumberFormat="1">
      <alignment horizontal="center" vertical="top" wrapText="1"/>
    </xf>
    <xf numFmtId="0" fontId="19" fillId="35" borderId="12" xfId="0" applyFont="1" applyFill="1" applyBorder="1" applyNumberFormat="1">
      <alignment horizontal="left" vertical="top" wrapText="1"/>
      <protection locked="0"/>
    </xf>
    <xf numFmtId="49" fontId="19" fillId="39" borderId="12" xfId="0" applyFont="1" applyFill="1" applyBorder="1" applyNumberFormat="1">
      <alignment horizontal="center" vertical="top" wrapText="1"/>
    </xf>
    <xf numFmtId="0" fontId="19" fillId="0" borderId="36" xfId="0" applyFont="1" applyBorder="1" applyNumberFormat="1">
      <alignment horizontal="center" vertical="center" wrapText="1"/>
    </xf>
    <xf numFmtId="0" fontId="19" fillId="0" borderId="12" xfId="0" applyFont="1" applyBorder="1" applyNumberFormat="1">
      <alignment horizontal="center" vertical="center" wrapText="1"/>
    </xf>
    <xf numFmtId="49" fontId="19" fillId="38" borderId="17" xfId="0" applyFont="1" applyFill="1" applyBorder="1" applyNumberFormat="1">
      <alignment horizontal="left" vertical="center" wrapText="1" indent="1"/>
      <protection locked="0"/>
    </xf>
    <xf numFmtId="0" fontId="19" fillId="0" borderId="24" xfId="0" applyFont="1" applyBorder="1" applyNumberFormat="1">
      <alignment vertical="top" wrapText="1"/>
    </xf>
    <xf numFmtId="49" fontId="19" fillId="39" borderId="23" xfId="0" applyFont="1" applyFill="1" applyBorder="1" applyNumberFormat="1">
      <alignment horizontal="center" vertical="top" wrapText="1"/>
    </xf>
    <xf numFmtId="49" fontId="0" fillId="38"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19" fillId="39" borderId="14" xfId="0" applyFont="1" applyFill="1" applyBorder="1" applyNumberFormat="1">
      <alignment horizontal="center" vertical="top" wrapText="1"/>
    </xf>
    <xf numFmtId="49" fontId="19" fillId="0" borderId="36" xfId="0" applyFont="1" applyBorder="1" applyNumberFormat="1">
      <alignment horizontal="center" vertical="top" wrapText="1"/>
    </xf>
    <xf numFmtId="0" fontId="0" fillId="33" borderId="36" xfId="0" applyFont="1" applyFill="1" applyBorder="1" applyNumberFormat="1">
      <alignment horizontal="left" vertical="top" wrapText="1" indent="1"/>
    </xf>
    <xf numFmtId="49" fontId="19"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19" fillId="39" borderId="36" xfId="0" applyFont="1" applyFill="1" applyBorder="1" applyNumberFormat="1">
      <alignment horizontal="left" vertical="top" wrapText="1"/>
    </xf>
    <xf numFmtId="49" fontId="19"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19" fillId="33" borderId="36" xfId="0" applyFont="1" applyFill="1" applyBorder="1" applyNumberFormat="1">
      <alignment horizontal="center" vertical="top" wrapText="1"/>
    </xf>
    <xf numFmtId="0" fontId="19" fillId="35" borderId="36" xfId="0" applyFont="1" applyFill="1" applyBorder="1" applyNumberFormat="1">
      <alignment horizontal="left" vertical="top" wrapText="1"/>
      <protection locked="0"/>
    </xf>
    <xf numFmtId="0" fontId="93" fillId="0" borderId="48" xfId="0" applyFont="1" applyBorder="1" applyNumberFormat="1">
      <alignment horizontal="left" vertical="center" indent="1"/>
    </xf>
    <xf numFmtId="0" fontId="9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19" fillId="0" borderId="49" xfId="0" applyFont="1" applyBorder="1" applyNumberFormat="1">
      <alignment vertical="center" wrapText="1"/>
    </xf>
    <xf numFmtId="0" fontId="19" fillId="0" borderId="54" xfId="0" applyFont="1" applyBorder="1" applyNumberFormat="1">
      <alignment vertical="center" wrapText="1"/>
    </xf>
    <xf numFmtId="0" fontId="19" fillId="0" borderId="55" xfId="0" applyFont="1" applyBorder="1" applyNumberFormat="1">
      <alignment vertical="center" wrapText="1"/>
    </xf>
    <xf numFmtId="0" fontId="19" fillId="0" borderId="38" xfId="0" applyFont="1" applyBorder="1" applyNumberFormat="1">
      <alignment vertical="center" wrapText="1"/>
    </xf>
    <xf numFmtId="49" fontId="19" fillId="33" borderId="12" xfId="0" applyFont="1" applyFill="1" applyBorder="1" applyNumberFormat="1">
      <alignment horizontal="center" vertical="center" wrapText="1"/>
    </xf>
    <xf numFmtId="49" fontId="19" fillId="0" borderId="13" xfId="0" applyFont="1" applyBorder="1" applyNumberFormat="1">
      <alignment horizontal="center" vertical="center" wrapText="1"/>
    </xf>
    <xf numFmtId="49" fontId="19" fillId="39" borderId="13" xfId="0" applyFont="1" applyFill="1" applyBorder="1" applyNumberFormat="1">
      <alignment horizontal="left" vertical="center" wrapText="1"/>
    </xf>
    <xf numFmtId="49" fontId="19" fillId="38" borderId="12" xfId="0" applyFont="1" applyFill="1" applyBorder="1" applyNumberFormat="1">
      <alignment horizontal="left" vertical="center" wrapText="1"/>
      <protection locked="0"/>
    </xf>
    <xf numFmtId="49" fontId="19" fillId="39" borderId="14" xfId="0" applyFont="1" applyFill="1" applyBorder="1" applyNumberFormat="1">
      <alignment horizontal="center" vertical="center" wrapText="1"/>
    </xf>
    <xf numFmtId="49" fontId="95" fillId="36" borderId="43" xfId="0" applyFont="1" applyFill="1" applyBorder="1" applyNumberFormat="1">
      <alignment horizontal="left" vertical="center" indent="1"/>
    </xf>
    <xf numFmtId="49" fontId="84" fillId="36" borderId="43" xfId="0" applyFont="1" applyFill="1" applyBorder="1" applyNumberFormat="1">
      <alignment horizontal="center" vertical="center"/>
    </xf>
    <xf numFmtId="3" fontId="19" fillId="38" borderId="12" xfId="0" applyFont="1" applyFill="1" applyBorder="1" applyNumberFormat="1">
      <alignment horizontal="center" vertical="center" wrapText="1"/>
      <protection locked="0"/>
    </xf>
    <xf numFmtId="49" fontId="113" fillId="0" borderId="13" xfId="0" applyFont="1" applyBorder="1" applyNumberFormat="1">
      <alignment horizontal="center" vertical="center" wrapText="1"/>
    </xf>
    <xf numFmtId="0" fontId="34" fillId="0" borderId="12" xfId="0" applyFont="1" applyBorder="1" applyNumberFormat="1">
      <alignment horizontal="center" vertical="center"/>
    </xf>
    <xf numFmtId="49" fontId="19" fillId="39" borderId="17" xfId="0" applyFont="1" applyFill="1" applyBorder="1" applyNumberFormat="1">
      <alignment horizontal="left" vertical="center" wrapText="1" indent="1"/>
    </xf>
    <xf numFmtId="49" fontId="19" fillId="0" borderId="12" xfId="0" applyFont="1" applyBorder="1" applyNumberFormat="1">
      <alignment horizontal="lef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34" fillId="36" borderId="15" xfId="0" applyFont="1" applyFill="1" applyBorder="1" applyNumberFormat="1">
      <alignment vertical="top" wrapText="1"/>
    </xf>
    <xf numFmtId="49" fontId="34" fillId="36" borderId="13" xfId="0" applyFont="1" applyFill="1" applyBorder="1" applyNumberFormat="1">
      <alignment vertical="top" wrapText="1"/>
    </xf>
    <xf numFmtId="49" fontId="19" fillId="39" borderId="36" xfId="0" applyFont="1" applyFill="1" applyBorder="1" applyNumberFormat="1">
      <alignment horizontal="left" vertical="center" wrapText="1" indent="1"/>
    </xf>
    <xf numFmtId="49" fontId="19" fillId="33" borderId="12" xfId="0" applyFont="1" applyFill="1" applyBorder="1" applyNumberFormat="1">
      <alignment horizontal="left" vertical="center" wrapText="1"/>
    </xf>
    <xf numFmtId="49" fontId="113" fillId="0" borderId="0" xfId="0" applyFont="1" applyNumberFormat="1">
      <alignment horizontal="center" vertical="top" wrapText="1"/>
    </xf>
    <xf numFmtId="0" fontId="34" fillId="0" borderId="12" xfId="0" applyFont="1" applyBorder="1" applyNumberFormat="1">
      <alignment horizontal="center" vertical="center"/>
    </xf>
    <xf numFmtId="0" fontId="34" fillId="39" borderId="12" xfId="0" applyFont="1" applyFill="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19" fillId="39" borderId="23" xfId="0" applyFont="1" applyFill="1" applyBorder="1" applyNumberFormat="1">
      <alignment horizontal="left" vertical="center" wrapText="1" indent="1"/>
    </xf>
    <xf numFmtId="49" fontId="29" fillId="36" borderId="15" xfId="0" applyFont="1" applyFill="1" applyBorder="1" applyNumberFormat="1">
      <alignment horizontal="left" vertical="center" indent="1"/>
    </xf>
    <xf numFmtId="49" fontId="34"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49" fontId="19" fillId="33" borderId="58" xfId="0" applyFont="1" applyFill="1" applyBorder="1" applyNumberFormat="1">
      <alignment horizontal="center" vertical="center" wrapText="1"/>
    </xf>
    <xf numFmtId="0" fontId="0" fillId="36" borderId="50" xfId="0" applyFont="1" applyFill="1" applyBorder="1" applyNumberFormat="1">
      <alignment horizontal="left" vertical="center"/>
    </xf>
    <xf numFmtId="49" fontId="29" fillId="36" borderId="51" xfId="0" applyFont="1" applyFill="1" applyBorder="1" applyNumberFormat="1">
      <alignment horizontal="left" vertical="center" indent="1"/>
    </xf>
    <xf numFmtId="0" fontId="19" fillId="36" borderId="50" xfId="0" applyFont="1" applyFill="1" applyBorder="1" applyNumberFormat="1">
      <alignment vertical="center" wrapText="1"/>
    </xf>
    <xf numFmtId="0" fontId="19" fillId="36" borderId="51" xfId="0" applyFont="1" applyFill="1" applyBorder="1" applyNumberFormat="1">
      <alignment vertical="center" wrapText="1"/>
    </xf>
    <xf numFmtId="0" fontId="19" fillId="36" borderId="53" xfId="0" applyFont="1" applyFill="1" applyBorder="1" applyNumberFormat="1">
      <alignment vertical="center" wrapText="1"/>
    </xf>
    <xf numFmtId="49" fontId="0" fillId="33" borderId="36" xfId="0" applyFont="1" applyFill="1" applyBorder="1" applyNumberFormat="1">
      <alignment vertical="top"/>
    </xf>
    <xf numFmtId="49" fontId="0" fillId="0" borderId="36" xfId="0" applyFont="1" applyBorder="1" applyNumberFormat="1">
      <alignment vertical="top"/>
    </xf>
    <xf numFmtId="49" fontId="19" fillId="39" borderId="17" xfId="0" applyFont="1" applyFill="1" applyBorder="1" applyNumberFormat="1">
      <alignment vertical="center" wrapText="1"/>
    </xf>
    <xf numFmtId="49" fontId="0" fillId="38" borderId="36" xfId="0" applyFont="1" applyFill="1" applyBorder="1" applyNumberFormat="1">
      <alignment vertical="top"/>
      <protection locked="0"/>
    </xf>
    <xf numFmtId="49" fontId="113" fillId="0" borderId="12" xfId="0" applyFont="1" applyBorder="1" applyNumberFormat="1">
      <alignment horizontal="center" vertical="center" wrapText="1"/>
    </xf>
    <xf numFmtId="49" fontId="0" fillId="38" borderId="17" xfId="0" applyFont="1" applyFill="1" applyBorder="1" applyNumberFormat="1">
      <alignment vertical="top"/>
      <protection locked="0"/>
    </xf>
    <xf numFmtId="14" fontId="19" fillId="39" borderId="36" xfId="0" applyFont="1" applyFill="1" applyBorder="1" applyNumberFormat="1">
      <alignment horizontal="left" vertical="center" wrapText="1" indent="1"/>
    </xf>
    <xf numFmtId="49" fontId="19" fillId="39" borderId="36" xfId="0" applyFont="1" applyFill="1" applyBorder="1" applyNumberFormat="1">
      <alignment vertical="center" wrapText="1"/>
    </xf>
    <xf numFmtId="49" fontId="19" fillId="39" borderId="23" xfId="0" applyFont="1" applyFill="1" applyBorder="1" applyNumberFormat="1">
      <alignment vertical="center" wrapText="1"/>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0" fontId="34" fillId="0" borderId="13" xfId="0" applyFont="1" applyBorder="1" applyNumberFormat="1">
      <alignment horizontal="center" vertical="center"/>
    </xf>
    <xf numFmtId="0" fontId="93" fillId="0" borderId="47" xfId="0" applyFont="1" applyBorder="1" applyNumberFormat="1">
      <alignment horizontal="left" vertical="center" indent="1"/>
    </xf>
    <xf numFmtId="49" fontId="19" fillId="0" borderId="56" xfId="0" applyFont="1" applyBorder="1" applyNumberFormat="1">
      <alignment horizontal="center" vertical="center"/>
    </xf>
    <xf numFmtId="0" fontId="19" fillId="0" borderId="56" xfId="0" applyFont="1" applyBorder="1" applyNumberFormat="1">
      <alignment horizontal="right" vertical="center"/>
    </xf>
    <xf numFmtId="0" fontId="19" fillId="0" borderId="56" xfId="0" applyFont="1" applyBorder="1" applyNumberFormat="1">
      <alignment horizontal="center" vertical="center"/>
    </xf>
    <xf numFmtId="0" fontId="19" fillId="0" borderId="15" xfId="0" applyFont="1" applyBorder="1" applyNumberFormat="1">
      <alignment horizontal="right" vertical="center"/>
    </xf>
    <xf numFmtId="0" fontId="19" fillId="0" borderId="13" xfId="0" applyFont="1" applyBorder="1" applyNumberFormat="1">
      <alignment horizontal="right" vertical="center"/>
    </xf>
    <xf numFmtId="49" fontId="0" fillId="0" borderId="0" xfId="0" applyFont="1" applyNumberFormat="1">
      <alignment vertical="top"/>
    </xf>
    <xf numFmtId="0" fontId="19" fillId="34" borderId="12" xfId="0" applyFont="1" applyFill="1" applyBorder="1" applyNumberFormat="1">
      <alignment horizontal="center" vertical="center"/>
    </xf>
    <xf numFmtId="0" fontId="19" fillId="39" borderId="12" xfId="0" applyFont="1" applyFill="1" applyBorder="1" applyNumberFormat="1">
      <alignment horizontal="left" vertical="center" wrapText="1" indent="1"/>
    </xf>
    <xf numFmtId="0" fontId="19" fillId="38" borderId="12" xfId="0" applyFont="1" applyFill="1" applyBorder="1" applyNumberFormat="1">
      <alignment horizontal="left" vertical="center" wrapText="1" indent="1"/>
      <protection locked="0"/>
    </xf>
    <xf numFmtId="0" fontId="19" fillId="35" borderId="12" xfId="0" applyFont="1" applyFill="1" applyBorder="1" applyNumberFormat="1">
      <alignment horizontal="left" vertical="center" indent="1"/>
      <protection locked="0"/>
    </xf>
    <xf numFmtId="0" fontId="19" fillId="40" borderId="12" xfId="0" applyFont="1" applyFill="1" applyBorder="1" applyNumberFormat="1">
      <alignment horizontal="right" vertical="center"/>
    </xf>
    <xf numFmtId="3" fontId="19" fillId="35" borderId="12" xfId="0" applyFont="1" applyFill="1" applyBorder="1" applyNumberFormat="1">
      <alignment horizontal="right" vertical="center"/>
      <protection locked="0"/>
    </xf>
    <xf numFmtId="4" fontId="19" fillId="35" borderId="12" xfId="0" applyFont="1" applyFill="1" applyBorder="1" applyNumberFormat="1">
      <alignment horizontal="right" vertical="center"/>
      <protection locked="0"/>
    </xf>
    <xf numFmtId="49" fontId="29" fillId="36" borderId="57"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51" borderId="13" xfId="0" applyFont="1" applyFill="1" applyBorder="1" applyNumberFormat="1">
      <alignment horizontal="left" vertical="center" indent="1"/>
    </xf>
    <xf numFmtId="49" fontId="19" fillId="0" borderId="0" xfId="0" applyFont="1" applyNumberFormat="1">
      <alignment vertical="top"/>
    </xf>
    <xf numFmtId="49" fontId="19" fillId="0" borderId="17" xfId="0" applyFont="1" applyBorder="1" applyNumberFormat="1">
      <alignment horizontal="center" vertical="center" wrapText="1"/>
    </xf>
    <xf numFmtId="49" fontId="19" fillId="0" borderId="36" xfId="0" applyFont="1" applyBorder="1" applyNumberFormat="1">
      <alignment horizontal="center" vertical="center" wrapText="1"/>
    </xf>
    <xf numFmtId="0" fontId="36" fillId="0" borderId="0" xfId="0" applyFont="1" applyNumberFormat="1">
      <alignment horizontal="center" vertical="center" wrapText="1"/>
    </xf>
    <xf numFmtId="0" fontId="19" fillId="0" borderId="12" xfId="0" applyFont="1" applyBorder="1" applyNumberFormat="1">
      <alignment horizontal="left" vertical="center" wrapText="1"/>
    </xf>
    <xf numFmtId="0" fontId="37" fillId="0" borderId="0" xfId="0" applyFont="1" applyNumberFormat="1">
      <alignment horizontal="center" vertical="center" wrapText="1"/>
    </xf>
    <xf numFmtId="0" fontId="29" fillId="0" borderId="12" xfId="0" applyFont="1" applyBorder="1" applyNumberFormat="1">
      <alignment horizontal="left" vertical="center" indent="1"/>
    </xf>
    <xf numFmtId="0" fontId="36" fillId="0" borderId="0" xfId="0" applyFont="1" applyNumberFormat="1">
      <alignment horizontal="center" vertical="top"/>
    </xf>
    <xf numFmtId="49" fontId="19" fillId="0" borderId="23" xfId="0" applyFont="1" applyBorder="1" applyNumberFormat="1">
      <alignment horizontal="center" vertical="center" wrapText="1"/>
    </xf>
    <xf numFmtId="0" fontId="37" fillId="0" borderId="23" xfId="0" applyFont="1" applyBorder="1" applyNumberFormat="1">
      <alignment vertical="center" wrapText="1"/>
    </xf>
    <xf numFmtId="4" fontId="37" fillId="0" borderId="12" xfId="0" applyFont="1" applyBorder="1" applyNumberFormat="1">
      <alignment horizontal="right" vertical="center" wrapText="1"/>
    </xf>
    <xf numFmtId="2" fontId="37" fillId="0" borderId="23" xfId="0" applyFont="1" applyBorder="1" applyNumberFormat="1">
      <alignment horizontal="center" vertical="center" wrapText="1"/>
    </xf>
    <xf numFmtId="0" fontId="37" fillId="0" borderId="0" xfId="0" applyFont="1" applyNumberFormat="1">
      <alignment horizontal="center" vertical="top"/>
    </xf>
    <xf numFmtId="49" fontId="37" fillId="0" borderId="0" xfId="0" applyFont="1" applyNumberFormat="1">
      <alignment vertical="top"/>
    </xf>
    <xf numFmtId="49" fontId="37" fillId="0" borderId="14" xfId="0" applyFont="1" applyBorder="1" applyNumberFormat="1">
      <alignment horizontal="left" vertical="center"/>
    </xf>
    <xf numFmtId="49" fontId="37" fillId="0" borderId="15" xfId="0" applyFont="1" applyBorder="1" applyNumberFormat="1">
      <alignment horizontal="left" vertical="center" indent="1"/>
    </xf>
    <xf numFmtId="49" fontId="37" fillId="0" borderId="15" xfId="0" applyFont="1" applyBorder="1" applyNumberFormat="1">
      <alignment horizontal="left" vertical="center"/>
    </xf>
    <xf numFmtId="49" fontId="37" fillId="0" borderId="13" xfId="0" applyFont="1" applyBorder="1" applyNumberFormat="1">
      <alignment horizontal="left" vertical="center" indent="1"/>
    </xf>
    <xf numFmtId="0" fontId="37" fillId="0" borderId="12" xfId="0" applyFont="1" applyBorder="1" applyNumberFormat="1">
      <alignment horizontal="left" vertical="center" indent="1"/>
    </xf>
    <xf numFmtId="49" fontId="0" fillId="0" borderId="19" xfId="0" applyFont="1" applyBorder="1" applyNumberFormat="1">
      <alignment vertical="top"/>
    </xf>
    <xf numFmtId="49" fontId="25" fillId="0" borderId="17" xfId="0" applyFont="1" applyBorder="1" applyNumberFormat="1">
      <alignment horizontal="center" vertical="top" wrapText="1"/>
    </xf>
    <xf numFmtId="49" fontId="19" fillId="38"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3" borderId="12" xfId="0" applyFont="1" applyFill="1" applyBorder="1" applyNumberFormat="1">
      <alignment horizontal="right" vertical="center" wrapText="1"/>
    </xf>
    <xf numFmtId="49" fontId="19" fillId="0" borderId="36" xfId="0" applyFont="1" applyBorder="1" applyNumberFormat="1">
      <alignment horizontal="center" vertical="top" wrapText="1"/>
    </xf>
    <xf numFmtId="0" fontId="0" fillId="38" borderId="12" xfId="0" applyFont="1" applyFill="1" applyBorder="1" applyNumberFormat="1">
      <alignment horizontal="left" vertical="center" wrapText="1"/>
      <protection locked="0"/>
    </xf>
    <xf numFmtId="49" fontId="0" fillId="38"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6" fillId="0" borderId="12" xfId="0" applyFont="1" applyBorder="1" applyNumberFormat="1">
      <alignment horizontal="right" vertical="center" wrapText="1"/>
    </xf>
    <xf numFmtId="49" fontId="0" fillId="38" borderId="12" xfId="0" applyFont="1" applyFill="1" applyBorder="1" applyNumberFormat="1">
      <alignment horizontal="left" vertical="center" wrapText="1"/>
      <protection locked="0"/>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49" fontId="19" fillId="0" borderId="23" xfId="0" applyFont="1" applyBorder="1" applyNumberFormat="1">
      <alignment horizontal="center" vertical="top" wrapText="1"/>
    </xf>
    <xf numFmtId="49" fontId="19" fillId="38"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0" xfId="0" applyFont="1" applyNumberFormat="1">
      <alignment vertical="center"/>
    </xf>
    <xf numFmtId="49" fontId="0" fillId="0" borderId="0" xfId="0" applyFont="1" applyNumberFormat="1">
      <alignment vertical="center"/>
    </xf>
    <xf numFmtId="0" fontId="25" fillId="0" borderId="0" xfId="0" applyFont="1" applyNumberFormat="1">
      <alignment horizontal="center" vertical="center" wrapText="1"/>
    </xf>
    <xf numFmtId="0" fontId="0" fillId="0" borderId="12" xfId="0" applyFont="1" applyBorder="1" applyNumberFormat="1">
      <alignment horizontal="center" vertical="center"/>
    </xf>
    <xf numFmtId="0" fontId="19" fillId="39" borderId="12" xfId="0" applyFont="1" applyFill="1" applyBorder="1" applyNumberFormat="1">
      <alignment horizontal="left" vertical="top" wrapText="1"/>
    </xf>
    <xf numFmtId="49" fontId="19" fillId="35" borderId="12" xfId="0" applyFont="1" applyFill="1" applyBorder="1" applyNumberFormat="1">
      <alignment horizontal="left" vertical="center" wrapText="1"/>
      <protection locked="0"/>
    </xf>
    <xf numFmtId="0" fontId="0" fillId="39" borderId="12"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19" fillId="0" borderId="12"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39" borderId="12" xfId="0" applyFont="1" applyFill="1" applyBorder="1" applyNumberFormat="1">
      <alignment horizontal="left" vertical="top"/>
    </xf>
    <xf numFmtId="49" fontId="0" fillId="35" borderId="12" xfId="0" applyFont="1" applyFill="1" applyBorder="1" applyNumberFormat="1">
      <alignment horizontal="left" vertical="top"/>
      <protection locked="0"/>
    </xf>
    <xf numFmtId="49" fontId="0" fillId="39" borderId="12" xfId="0" applyFont="1" applyFill="1" applyBorder="1" applyNumberFormat="1">
      <alignment horizontal="left" vertical="center" wrapText="1"/>
      <protection locked="0"/>
    </xf>
    <xf numFmtId="0" fontId="0" fillId="36" borderId="15" xfId="0" applyFont="1" applyFill="1" applyBorder="1" applyNumberFormat="1">
      <alignment vertical="center"/>
    </xf>
    <xf numFmtId="49" fontId="0" fillId="0" borderId="36" xfId="0" applyFont="1" applyBorder="1" applyNumberFormat="1">
      <alignment horizontal="left" vertical="top"/>
    </xf>
    <xf numFmtId="0" fontId="19" fillId="39" borderId="36" xfId="0" applyFont="1" applyFill="1" applyBorder="1" applyNumberFormat="1">
      <alignment horizontal="center" vertical="top" wrapText="1"/>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19" fillId="39" borderId="0" xfId="0" applyFont="1" applyFill="1" applyNumberFormat="1">
      <alignment horizontal="center" vertical="center" wrapText="1"/>
    </xf>
    <xf numFmtId="0" fontId="29" fillId="0" borderId="36" xfId="0" applyFont="1" applyBorder="1" applyNumberFormat="1">
      <alignment horizontal="left" vertical="center"/>
    </xf>
    <xf numFmtId="49" fontId="0" fillId="39" borderId="36" xfId="0" applyFont="1" applyFill="1" applyBorder="1" applyNumberFormat="1">
      <alignment horizontal="left" vertical="center" wrapText="1"/>
      <protection locked="0"/>
    </xf>
    <xf numFmtId="49" fontId="19" fillId="39" borderId="36" xfId="0" applyFont="1" applyFill="1" applyBorder="1" applyNumberFormat="1">
      <alignment horizontal="center" vertical="center" wrapText="1"/>
    </xf>
    <xf numFmtId="0" fontId="29" fillId="35" borderId="36" xfId="0" applyFont="1" applyFill="1" applyBorder="1" applyNumberFormat="1">
      <alignment horizontal="left" vertical="center"/>
      <protection locked="0"/>
    </xf>
    <xf numFmtId="0" fontId="29" fillId="38" borderId="36" xfId="0" applyFont="1" applyFill="1" applyBorder="1" applyNumberFormat="1">
      <alignment horizontal="left" vertical="center"/>
      <protection locked="0"/>
    </xf>
    <xf numFmtId="49" fontId="37" fillId="0" borderId="12" xfId="0" applyFont="1" applyBorder="1" applyNumberFormat="1">
      <alignment horizontal="center" vertical="center" wrapText="1"/>
    </xf>
    <xf numFmtId="49" fontId="37" fillId="0" borderId="14" xfId="0" applyFont="1" applyBorder="1" applyNumberFormat="1">
      <alignment horizontal="left" vertical="center" wrapText="1"/>
    </xf>
    <xf numFmtId="0" fontId="37" fillId="0" borderId="14" xfId="0" applyFont="1" applyBorder="1" applyNumberFormat="1">
      <alignment horizontal="left" vertical="center"/>
    </xf>
    <xf numFmtId="0" fontId="37" fillId="0" borderId="15" xfId="0" applyFont="1" applyBorder="1" applyNumberFormat="1">
      <alignment horizontal="left" vertical="center"/>
    </xf>
    <xf numFmtId="0" fontId="29" fillId="36" borderId="29" xfId="0" applyFont="1" applyFill="1" applyBorder="1" applyNumberFormat="1">
      <alignment horizontal="left" vertical="center"/>
    </xf>
    <xf numFmtId="49" fontId="0" fillId="0" borderId="0" xfId="0" applyFont="1" applyNumberFormat="1">
      <alignment vertical="top"/>
    </xf>
    <xf numFmtId="49" fontId="0" fillId="35" borderId="36" xfId="0" applyFont="1" applyFill="1" applyBorder="1" applyNumberFormat="1">
      <alignment vertical="top"/>
      <protection locked="0"/>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19" fillId="0" borderId="0" xfId="0" applyFont="1" applyNumberFormat="1">
      <alignment horizontal="center" vertical="center" wrapText="1"/>
    </xf>
    <xf numFmtId="0" fontId="0" fillId="0" borderId="0" xfId="0" applyFont="1" applyNumberFormat="1">
      <alignment vertical="center"/>
    </xf>
    <xf numFmtId="0" fontId="0" fillId="0" borderId="27" xfId="0" applyFont="1" applyBorder="1" applyNumberFormat="1">
      <alignment vertical="center"/>
    </xf>
    <xf numFmtId="49" fontId="19" fillId="0" borderId="36" xfId="0" applyFont="1" applyBorder="1" applyNumberFormat="1">
      <alignment horizontal="center" vertical="center"/>
    </xf>
    <xf numFmtId="49" fontId="19" fillId="0" borderId="36" xfId="0" applyFont="1" applyBorder="1" applyNumberFormat="1">
      <alignment vertical="center" wrapText="1"/>
    </xf>
    <xf numFmtId="0" fontId="19" fillId="0" borderId="24" xfId="0" applyFont="1" applyBorder="1" applyNumberFormat="1">
      <alignment horizontal="center" vertical="center"/>
    </xf>
    <xf numFmtId="49" fontId="19" fillId="0" borderId="17" xfId="0" applyFont="1" applyBorder="1" applyNumberFormat="1">
      <alignment horizontal="left" vertical="center" wrapText="1"/>
    </xf>
    <xf numFmtId="49" fontId="19" fillId="0" borderId="17" xfId="0" applyFont="1" applyBorder="1" applyNumberFormat="1">
      <alignment horizontal="left" vertical="center" wrapText="1"/>
    </xf>
    <xf numFmtId="49" fontId="25" fillId="0" borderId="36" xfId="0" applyFont="1" applyBorder="1" applyNumberFormat="1">
      <alignment vertical="center" wrapText="1"/>
    </xf>
    <xf numFmtId="0" fontId="19" fillId="39" borderId="17" xfId="0" applyFont="1" applyFill="1" applyBorder="1" applyNumberFormat="1">
      <alignment horizontal="left" vertical="center" wrapText="1"/>
    </xf>
    <xf numFmtId="49" fontId="19" fillId="0" borderId="17" xfId="0" applyFont="1" applyBorder="1" applyNumberFormat="1">
      <alignment horizontal="center" vertical="center" wrapText="1"/>
    </xf>
    <xf numFmtId="49" fontId="19" fillId="39" borderId="17" xfId="0" applyFont="1" applyFill="1" applyBorder="1" applyNumberFormat="1">
      <alignment horizontal="left" vertical="center" wrapText="1"/>
    </xf>
    <xf numFmtId="0" fontId="19" fillId="0" borderId="17" xfId="0" applyFont="1" applyBorder="1" applyNumberFormat="1">
      <alignment horizontal="left" vertical="center" wrapText="1"/>
    </xf>
    <xf numFmtId="49" fontId="19" fillId="0" borderId="17" xfId="0" applyFont="1" applyBorder="1" applyNumberFormat="1">
      <alignment horizontal="center" vertical="center" wrapText="1"/>
    </xf>
    <xf numFmtId="49" fontId="19" fillId="39" borderId="17" xfId="0" applyFont="1" applyFill="1" applyBorder="1" applyNumberFormat="1">
      <alignment vertical="center" wrapText="1"/>
    </xf>
    <xf numFmtId="0" fontId="19" fillId="0" borderId="36" xfId="0" applyFont="1" applyBorder="1" applyNumberFormat="1">
      <alignment horizontal="left" vertical="center" wrapText="1"/>
    </xf>
    <xf numFmtId="49" fontId="19" fillId="0" borderId="36" xfId="0" applyFont="1" applyBorder="1" applyNumberFormat="1">
      <alignment horizontal="left" vertical="center" wrapText="1"/>
    </xf>
    <xf numFmtId="0" fontId="19" fillId="39" borderId="36" xfId="0" applyFont="1" applyFill="1" applyBorder="1" applyNumberFormat="1">
      <alignment horizontal="left" vertical="center" wrapText="1"/>
    </xf>
    <xf numFmtId="49" fontId="19" fillId="0" borderId="36" xfId="0" applyFont="1" applyBorder="1" applyNumberFormat="1">
      <alignment horizontal="center" vertical="center" wrapText="1"/>
    </xf>
    <xf numFmtId="0" fontId="19" fillId="0" borderId="23" xfId="0" applyFont="1" applyBorder="1" applyNumberFormat="1">
      <alignment horizontal="left" vertical="center" wrapText="1"/>
    </xf>
    <xf numFmtId="0" fontId="29" fillId="0" borderId="23" xfId="0" applyFont="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49" fontId="19" fillId="0" borderId="36" xfId="0" applyFont="1" applyBorder="1" applyNumberFormat="1">
      <alignment horizontal="center" vertical="center" wrapText="1"/>
    </xf>
    <xf numFmtId="0" fontId="29" fillId="36" borderId="37" xfId="0" applyFont="1" applyFill="1" applyBorder="1" applyNumberFormat="1">
      <alignment horizontal="left" vertical="center"/>
    </xf>
    <xf numFmtId="0" fontId="29" fillId="36" borderId="19" xfId="0" applyFont="1" applyFill="1" applyBorder="1" applyNumberFormat="1">
      <alignment horizontal="left" vertical="center"/>
    </xf>
    <xf numFmtId="0" fontId="29" fillId="36" borderId="20" xfId="0" applyFont="1" applyFill="1" applyBorder="1" applyNumberFormat="1">
      <alignment horizontal="left" vertical="center"/>
    </xf>
    <xf numFmtId="49" fontId="19" fillId="38" borderId="17" xfId="0" applyFont="1" applyFill="1" applyBorder="1" applyNumberFormat="1">
      <alignment horizontal="left" vertical="center" wrapText="1"/>
      <protection locked="0"/>
    </xf>
    <xf numFmtId="49" fontId="25" fillId="0" borderId="36" xfId="0" applyFont="1" applyBorder="1" applyNumberFormat="1">
      <alignment horizontal="center" vertical="center" wrapText="1"/>
    </xf>
    <xf numFmtId="0" fontId="29" fillId="36" borderId="37" xfId="0" applyFont="1" applyFill="1" applyBorder="1" applyNumberFormat="1">
      <alignment vertical="center"/>
    </xf>
    <xf numFmtId="0" fontId="29" fillId="0" borderId="36" xfId="0" applyFont="1" applyBorder="1" applyNumberFormat="1">
      <alignment horizontal="left" vertical="center"/>
    </xf>
    <xf numFmtId="49" fontId="19" fillId="35" borderId="17" xfId="0" applyFont="1" applyFill="1" applyBorder="1" applyNumberFormat="1">
      <alignment horizontal="left" vertical="center" wrapText="1"/>
      <protection locked="0"/>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19" fillId="0" borderId="19" xfId="0" applyFont="1" applyBorder="1" applyNumberFormat="1">
      <alignment horizontal="lef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0" fontId="29" fillId="0" borderId="0" xfId="0" applyFont="1" applyNumberFormat="1">
      <alignment horizontal="left" vertical="center"/>
    </xf>
    <xf numFmtId="49" fontId="25" fillId="0" borderId="0" xfId="0" applyFont="1" applyNumberFormat="1">
      <alignment horizontal="center" vertical="center" wrapText="1"/>
    </xf>
    <xf numFmtId="49" fontId="19" fillId="0" borderId="0" xfId="0" applyFont="1" applyNumberFormat="1">
      <alignment horizontal="center" vertical="top"/>
    </xf>
    <xf numFmtId="49" fontId="20" fillId="46" borderId="0" xfId="0" applyFont="1" applyFill="1" applyNumberFormat="1">
      <alignment horizontal="center" vertical="center"/>
    </xf>
    <xf numFmtId="49" fontId="19" fillId="0" borderId="12" xfId="0" applyFont="1" applyBorder="1" applyNumberFormat="1">
      <alignment horizontal="center" vertical="top"/>
    </xf>
    <xf numFmtId="49" fontId="36" fillId="46" borderId="0" xfId="0" applyFont="1" applyFill="1" applyNumberFormat="1">
      <alignment horizontal="center" vertical="center" wrapText="1"/>
    </xf>
    <xf numFmtId="0" fontId="0" fillId="48" borderId="12" xfId="0" applyFont="1" applyFill="1" applyBorder="1" applyNumberFormat="1">
      <alignment horizontal="center" vertical="center"/>
    </xf>
    <xf numFmtId="49" fontId="0" fillId="0" borderId="0" xfId="0" applyFont="1" applyNumberFormat="1">
      <alignment vertical="center"/>
    </xf>
    <xf numFmtId="49" fontId="36" fillId="46" borderId="12" xfId="0" applyFont="1" applyFill="1" applyBorder="1" applyNumberFormat="1">
      <alignment horizontal="center" vertical="center"/>
    </xf>
    <xf numFmtId="49" fontId="36"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19" fillId="0" borderId="0" xfId="0" applyFont="1" applyNumberFormat="1">
      <alignment horizontal="center" vertical="top"/>
    </xf>
    <xf numFmtId="49" fontId="19" fillId="0" borderId="0" xfId="0" applyFont="1" applyNumberFormat="1">
      <alignment vertical="top"/>
    </xf>
    <xf numFmtId="0" fontId="19"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19" fillId="0" borderId="14" xfId="0" applyFont="1" applyBorder="1" applyNumberFormat="1">
      <alignment horizontal="left" vertical="center"/>
    </xf>
    <xf numFmtId="49" fontId="19" fillId="0" borderId="44" xfId="0" applyFont="1" applyBorder="1" applyNumberFormat="1">
      <alignment vertical="center"/>
    </xf>
    <xf numFmtId="49" fontId="19" fillId="0" borderId="45" xfId="0" applyFont="1" applyBorder="1" applyNumberFormat="1">
      <alignment vertical="top"/>
    </xf>
    <xf numFmtId="49" fontId="19"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19" fillId="0" borderId="13" xfId="0" applyFont="1" applyBorder="1" applyNumberFormat="1">
      <alignment vertical="center"/>
    </xf>
    <xf numFmtId="49" fontId="19" fillId="0" borderId="12" xfId="0" applyFont="1" applyBorder="1" applyNumberFormat="1">
      <alignment vertical="center"/>
    </xf>
    <xf numFmtId="0" fontId="0" fillId="0" borderId="0" xfId="0" applyFont="1" applyNumberFormat="1">
      <alignment vertical="top"/>
    </xf>
    <xf numFmtId="0" fontId="19" fillId="0" borderId="12" xfId="0" applyFont="1" applyBorder="1" applyNumberFormat="1">
      <alignment vertical="top"/>
    </xf>
    <xf numFmtId="0" fontId="0" fillId="47" borderId="0" xfId="0" applyFont="1" applyFill="1" applyNumberFormat="1">
      <alignment horizontal="right" vertical="center"/>
    </xf>
    <xf numFmtId="49" fontId="20" fillId="0" borderId="0" xfId="0" applyFont="1" applyNumberFormat="1">
      <alignment horizontal="center" vertical="center"/>
    </xf>
    <xf numFmtId="49" fontId="0" fillId="0" borderId="0" xfId="0" applyFont="1" applyNumberFormat="1">
      <alignment vertical="top"/>
    </xf>
    <xf numFmtId="49" fontId="20" fillId="46" borderId="0" xfId="0" applyFont="1" applyFill="1" applyNumberFormat="1">
      <alignment horizontal="center" vertical="center"/>
    </xf>
    <xf numFmtId="0" fontId="19" fillId="0" borderId="0" xfId="0" applyFont="1" applyNumberFormat="1">
      <alignment vertical="center"/>
    </xf>
    <xf numFmtId="0" fontId="0" fillId="47"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19" fillId="0" borderId="14" xfId="0" applyFont="1" applyBorder="1" applyNumberFormat="1">
      <alignment vertical="top"/>
    </xf>
    <xf numFmtId="0" fontId="0" fillId="47" borderId="0" xfId="0" applyFont="1" applyFill="1" applyNumberFormat="1">
      <alignment horizontal="right" vertical="center"/>
    </xf>
    <xf numFmtId="0" fontId="0" fillId="0" borderId="0" xfId="0" applyFont="1" applyNumberFormat="1">
      <alignment horizontal="left" vertical="center"/>
    </xf>
    <xf numFmtId="0" fontId="0" fillId="47" borderId="0" xfId="0" applyFont="1" applyFill="1" applyNumberFormat="1">
      <alignment horizontal="right" vertical="center"/>
    </xf>
    <xf numFmtId="0" fontId="0" fillId="47" borderId="0" xfId="0" applyFont="1" applyFill="1" applyNumberFormat="1">
      <alignment horizontal="left" vertical="center"/>
    </xf>
    <xf numFmtId="0" fontId="44" fillId="47" borderId="0" xfId="0" applyFont="1" applyFill="1" applyNumberFormat="1">
      <alignment horizontal="left" vertical="center"/>
    </xf>
    <xf numFmtId="0" fontId="0" fillId="0" borderId="0" xfId="0" applyFont="1" applyNumberFormat="1">
      <alignment vertical="center"/>
    </xf>
    <xf numFmtId="0" fontId="19" fillId="0" borderId="0" xfId="0" applyFont="1" applyNumberFormat="1">
      <alignment vertical="top"/>
    </xf>
    <xf numFmtId="0" fontId="44" fillId="0" borderId="0" xfId="0" applyFont="1" applyNumberFormat="1">
      <alignment horizontal="left" vertical="center"/>
    </xf>
    <xf numFmtId="49" fontId="0" fillId="0" borderId="14" xfId="0" applyFont="1" applyBorder="1" applyNumberFormat="1">
      <alignment vertical="top"/>
    </xf>
    <xf numFmtId="49" fontId="19" fillId="0" borderId="12" xfId="0" applyFont="1" applyBorder="1" applyNumberFormat="1">
      <alignment horizontal="right" vertical="top"/>
    </xf>
    <xf numFmtId="0" fontId="0" fillId="0" borderId="14" xfId="0" applyFont="1" applyBorder="1" applyNumberFormat="1">
      <alignment horizontal="left" vertical="center"/>
    </xf>
    <xf numFmtId="0" fontId="44" fillId="47" borderId="0" xfId="0" applyFont="1" applyFill="1" applyNumberFormat="1">
      <alignment horizontal="left" vertical="center"/>
    </xf>
    <xf numFmtId="49" fontId="19" fillId="0" borderId="17" xfId="0" applyFont="1" applyBorder="1" applyNumberFormat="1">
      <alignment horizontal="right" vertical="top"/>
    </xf>
    <xf numFmtId="0" fontId="0" fillId="0" borderId="17" xfId="0" applyFont="1" applyBorder="1" applyNumberFormat="1">
      <alignment vertical="top"/>
    </xf>
    <xf numFmtId="0" fontId="19" fillId="0" borderId="17" xfId="0" applyFont="1" applyBorder="1" applyNumberFormat="1">
      <alignment vertical="center"/>
    </xf>
    <xf numFmtId="49" fontId="19" fillId="0" borderId="31" xfId="0" applyFont="1" applyBorder="1" applyNumberFormat="1">
      <alignment horizontal="center" vertical="center"/>
    </xf>
    <xf numFmtId="49" fontId="19" fillId="0" borderId="12" xfId="0" applyFont="1" applyBorder="1" applyNumberFormat="1">
      <alignment horizontal="right" vertical="center"/>
    </xf>
    <xf numFmtId="49" fontId="19" fillId="0" borderId="12" xfId="0" applyFont="1" applyBorder="1" applyNumberFormat="1">
      <alignment vertical="top"/>
    </xf>
    <xf numFmtId="49" fontId="0" fillId="0" borderId="0" xfId="0" applyFont="1" applyNumberFormat="1">
      <alignment vertical="center"/>
    </xf>
    <xf numFmtId="0" fontId="19" fillId="47" borderId="0" xfId="0" applyFont="1" applyFill="1" applyNumberFormat="1">
      <alignment horizontal="left" vertical="center"/>
    </xf>
    <xf numFmtId="0" fontId="0" fillId="47" borderId="10" xfId="0" applyFont="1" applyFill="1" applyBorder="1" applyNumberFormat="1">
      <alignment horizontal="center"/>
    </xf>
    <xf numFmtId="49" fontId="94" fillId="0" borderId="16" xfId="0" applyFont="1" applyBorder="1" applyNumberFormat="1">
      <alignment vertical="top"/>
    </xf>
    <xf numFmtId="49" fontId="0" fillId="0" borderId="0" xfId="0" applyFont="1" applyNumberFormat="1">
      <alignment vertical="center"/>
    </xf>
    <xf numFmtId="49" fontId="34" fillId="53" borderId="0" xfId="0" applyFont="1" applyFill="1" applyNumberFormat="1">
      <alignment vertical="center" wrapText="1"/>
    </xf>
    <xf numFmtId="0" fontId="0" fillId="0" borderId="10" xfId="0" applyFont="1" applyBorder="1" applyNumberFormat="1">
      <alignment horizontal="center"/>
    </xf>
    <xf numFmtId="49" fontId="19" fillId="47" borderId="0" xfId="0" applyFont="1" applyFill="1" applyNumberFormat="1">
      <alignment horizontal="center" vertical="center"/>
    </xf>
    <xf numFmtId="49" fontId="19"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92" fillId="0" borderId="46" xfId="0" applyFont="1" applyBorder="1" applyNumberFormat="1">
      <alignment horizontal="center" vertical="center"/>
    </xf>
    <xf numFmtId="0" fontId="0" fillId="0" borderId="46" xfId="0" applyFont="1" applyBorder="1" applyNumberFormat="1">
      <alignment horizontal="center" vertical="center"/>
    </xf>
    <xf numFmtId="49" fontId="20" fillId="46" borderId="12" xfId="0" applyFont="1" applyFill="1" applyBorder="1" applyNumberFormat="1">
      <alignment horizontal="right" vertical="center"/>
    </xf>
    <xf numFmtId="49" fontId="19" fillId="35" borderId="37" xfId="0" applyFont="1" applyFill="1" applyBorder="1" applyNumberFormat="1">
      <alignment vertical="top"/>
      <protection locked="0"/>
    </xf>
    <xf numFmtId="0" fontId="19" fillId="0" borderId="12" xfId="0" applyFont="1" applyBorder="1" applyNumberFormat="1">
      <alignment vertical="top"/>
    </xf>
    <xf numFmtId="0" fontId="0" fillId="40" borderId="12" xfId="0" applyFont="1" applyFill="1" applyBorder="1" applyNumberFormat="1">
      <alignment horizontal="right" vertical="center"/>
    </xf>
    <xf numFmtId="49" fontId="19" fillId="40" borderId="23" xfId="0" applyFont="1" applyFill="1" applyBorder="1" applyNumberFormat="1">
      <alignment vertical="top"/>
    </xf>
    <xf numFmtId="49" fontId="19" fillId="40" borderId="12" xfId="0" applyFont="1" applyFill="1" applyBorder="1" applyNumberFormat="1">
      <alignment vertical="top"/>
    </xf>
    <xf numFmtId="49" fontId="19" fillId="0" borderId="14" xfId="0" applyFont="1" applyBorder="1" applyNumberFormat="1">
      <alignment horizontal="center" vertical="top"/>
    </xf>
    <xf numFmtId="49" fontId="19" fillId="0" borderId="13" xfId="0" applyFont="1" applyBorder="1" applyNumberFormat="1">
      <alignment horizontal="center" vertical="top"/>
    </xf>
    <xf numFmtId="0" fontId="19" fillId="33" borderId="30" xfId="0" applyFont="1" applyFill="1" applyBorder="1" applyNumberFormat="1">
      <alignment horizontal="center" vertical="top"/>
    </xf>
    <xf numFmtId="0" fontId="19" fillId="33"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19" fillId="0" borderId="12" xfId="0" applyFont="1" applyBorder="1" applyNumberFormat="1">
      <alignment horizontal="left" vertical="top"/>
    </xf>
    <xf numFmtId="49" fontId="19" fillId="0" borderId="0" xfId="0" applyFont="1" applyNumberFormat="1">
      <alignment horizontal="left" vertical="top"/>
    </xf>
    <xf numFmtId="0" fontId="0" fillId="0" borderId="31" xfId="0" applyFont="1" applyBorder="1" applyNumberFormat="1">
      <alignment horizontal="center" vertical="center"/>
    </xf>
    <xf numFmtId="0" fontId="0" fillId="0" borderId="33" xfId="0" applyFont="1" applyBorder="1" applyNumberFormat="1">
      <alignment horizontal="center" vertical="center"/>
    </xf>
    <xf numFmtId="49" fontId="20" fillId="46" borderId="14" xfId="0" applyFont="1" applyFill="1" applyBorder="1" applyNumberFormat="1">
      <alignment horizontal="right" vertical="center"/>
    </xf>
    <xf numFmtId="49" fontId="19"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49" fontId="19" fillId="0" borderId="0" xfId="0" applyFont="1" applyNumberFormat="1">
      <alignment vertical="center"/>
    </xf>
    <xf numFmtId="49" fontId="0" fillId="0" borderId="0" xfId="0" applyFont="1" applyNumberFormat="1">
      <alignment vertical="top"/>
    </xf>
    <xf numFmtId="49" fontId="19" fillId="0" borderId="0" xfId="0" applyFont="1" applyNumberFormat="1">
      <alignment vertical="top"/>
    </xf>
    <xf numFmtId="49" fontId="0" fillId="0" borderId="0" xfId="0" applyFont="1" applyNumberFormat="1">
      <alignment vertical="center" wrapText="1"/>
    </xf>
    <xf numFmtId="49" fontId="85" fillId="0" borderId="12" xfId="0" applyFont="1" applyBorder="1" applyNumberFormat="1">
      <alignment vertical="top" wrapText="1"/>
    </xf>
    <xf numFmtId="49" fontId="81" fillId="0" borderId="12" xfId="0" applyFont="1" applyBorder="1" applyNumberFormat="1">
      <alignment horizontal="center" vertical="top" wrapText="1"/>
    </xf>
    <xf numFmtId="49" fontId="81" fillId="40" borderId="12" xfId="0" applyFont="1" applyFill="1" applyBorder="1" applyNumberFormat="1">
      <alignment horizontal="center" vertical="top"/>
    </xf>
    <xf numFmtId="49" fontId="81" fillId="0" borderId="12" xfId="0" applyFont="1" applyBorder="1" applyNumberFormat="1">
      <alignment vertical="top" wrapText="1"/>
    </xf>
    <xf numFmtId="0" fontId="81" fillId="0" borderId="12" xfId="0" applyFont="1" applyBorder="1" applyNumberFormat="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0" fontId="85" fillId="0" borderId="12" xfId="0" applyFont="1" applyBorder="1" applyNumberFormat="1">
      <alignment vertical="top" wrapText="1"/>
    </xf>
    <xf numFmtId="49" fontId="85" fillId="0" borderId="0" xfId="0" applyFont="1" applyNumberFormat="1">
      <alignment vertical="top" wrapText="1"/>
    </xf>
    <xf numFmtId="49" fontId="85" fillId="0" borderId="0" xfId="0" applyFont="1" applyNumberFormat="1">
      <alignment vertical="top"/>
    </xf>
    <xf numFmtId="49" fontId="85" fillId="0" borderId="0" xfId="0" applyFont="1" applyNumberFormat="1">
      <alignment horizontal="center" vertical="top" wrapText="1"/>
    </xf>
    <xf numFmtId="49" fontId="85" fillId="0" borderId="12" xfId="0" applyFont="1" applyBorder="1" applyNumberFormat="1">
      <alignment horizontal="center" vertical="top" wrapText="1"/>
    </xf>
    <xf numFmtId="49" fontId="85" fillId="0" borderId="12" xfId="0" applyFont="1" applyBorder="1" applyNumberFormat="1">
      <alignment horizontal="center" vertical="top" wrapText="1"/>
    </xf>
    <xf numFmtId="49" fontId="85" fillId="40" borderId="12" xfId="0" applyFont="1" applyFill="1" applyBorder="1" applyNumberFormat="1">
      <alignment horizontal="center" vertical="top" wrapText="1"/>
    </xf>
    <xf numFmtId="49" fontId="81" fillId="40" borderId="12" xfId="0" applyFont="1" applyFill="1" applyBorder="1" applyNumberFormat="1">
      <alignment horizontal="center" vertical="top" wrapText="1"/>
    </xf>
    <xf numFmtId="49" fontId="85" fillId="0" borderId="12" xfId="0" applyFont="1" applyBorder="1" applyNumberFormat="1">
      <alignment horizontal="left" vertical="top" wrapText="1"/>
    </xf>
    <xf numFmtId="0" fontId="81" fillId="40" borderId="12" xfId="0" applyFont="1" applyFill="1" applyBorder="1" applyNumberFormat="1">
      <alignment horizontal="center" vertical="top" wrapText="1"/>
    </xf>
    <xf numFmtId="0" fontId="85" fillId="40" borderId="12" xfId="0" applyFont="1" applyFill="1" applyBorder="1" applyNumberFormat="1">
      <alignment horizontal="right" vertical="center"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0" fontId="85" fillId="0" borderId="12" xfId="0" applyFont="1" applyBorder="1" applyNumberFormat="1">
      <alignment horizontal="left" vertical="top" wrapText="1"/>
    </xf>
    <xf numFmtId="49" fontId="85" fillId="40" borderId="12" xfId="0" applyFont="1" applyFill="1" applyBorder="1" applyNumberFormat="1">
      <alignment horizontal="left" vertical="top" wrapText="1"/>
    </xf>
    <xf numFmtId="0" fontId="85" fillId="40" borderId="12" xfId="0" applyFont="1" applyFill="1" applyBorder="1" applyNumberFormat="1">
      <alignment horizontal="center" vertical="center" wrapText="1"/>
    </xf>
    <xf numFmtId="0" fontId="85" fillId="40" borderId="12" xfId="0" applyFont="1" applyFill="1" applyBorder="1" applyNumberFormat="1">
      <alignment horizontal="center" vertical="center"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17" xfId="0" applyFont="1" applyBorder="1" applyNumberFormat="1">
      <alignment horizontal="center" vertical="top" wrapText="1"/>
    </xf>
    <xf numFmtId="0" fontId="85" fillId="0" borderId="17" xfId="0" applyFont="1" applyBorder="1" applyNumberFormat="1">
      <alignment horizontal="left" vertical="top" wrapText="1"/>
    </xf>
    <xf numFmtId="49" fontId="85" fillId="0" borderId="37" xfId="0" applyFont="1" applyBorder="1" applyNumberFormat="1">
      <alignment horizontal="center" vertical="top" wrapText="1"/>
    </xf>
    <xf numFmtId="49" fontId="85" fillId="0" borderId="37" xfId="0" applyFont="1" applyBorder="1" applyNumberFormat="1">
      <alignment horizontal="center" vertical="top" wrapText="1"/>
    </xf>
    <xf numFmtId="0" fontId="85" fillId="0" borderId="13" xfId="0" applyFont="1" applyBorder="1" applyNumberFormat="1">
      <alignment horizontal="left" vertical="top" wrapText="1"/>
    </xf>
    <xf numFmtId="49" fontId="85" fillId="0" borderId="23"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22" xfId="0" applyFont="1" applyBorder="1" applyNumberFormat="1">
      <alignment horizontal="center" vertical="top" wrapText="1"/>
    </xf>
    <xf numFmtId="0" fontId="85" fillId="0" borderId="17" xfId="0" applyFont="1" applyBorder="1" applyNumberFormat="1">
      <alignment vertical="top" wrapText="1"/>
    </xf>
    <xf numFmtId="49" fontId="81" fillId="0" borderId="12" xfId="0" applyFont="1" applyBorder="1" applyNumberFormat="1">
      <alignment horizontal="left" vertical="top" wrapText="1"/>
    </xf>
    <xf numFmtId="0" fontId="81" fillId="0" borderId="14" xfId="0" applyFont="1" applyBorder="1" applyNumberFormat="1">
      <alignment horizontal="center" vertical="center" wrapText="1"/>
    </xf>
    <xf numFmtId="0" fontId="81" fillId="0" borderId="14" xfId="0" applyFont="1" applyBorder="1" applyNumberFormat="1">
      <alignment horizontal="center" vertical="center"/>
    </xf>
    <xf numFmtId="49" fontId="81" fillId="0" borderId="12" xfId="0" applyFont="1" applyBorder="1" applyNumberFormat="1">
      <alignment horizontal="center" vertical="center" wrapText="1"/>
    </xf>
    <xf numFmtId="0" fontId="81" fillId="0" borderId="12" xfId="0" applyFont="1" applyBorder="1" applyNumberFormat="1">
      <alignment vertical="center" wrapText="1"/>
    </xf>
    <xf numFmtId="49" fontId="85" fillId="0" borderId="14" xfId="0" applyFont="1" applyBorder="1" applyNumberFormat="1">
      <alignment horizontal="left" vertical="top" wrapText="1"/>
    </xf>
    <xf numFmtId="0" fontId="81" fillId="0" borderId="12" xfId="0" applyFont="1" applyBorder="1" applyNumberFormat="1">
      <alignment horizontal="center" vertical="center" wrapText="1"/>
    </xf>
    <xf numFmtId="0" fontId="81" fillId="0" borderId="17" xfId="0" applyFont="1" applyBorder="1" applyNumberFormat="1">
      <alignment vertical="center" wrapText="1"/>
    </xf>
    <xf numFmtId="0" fontId="81" fillId="0" borderId="23" xfId="0" applyFont="1" applyBorder="1" applyNumberFormat="1">
      <alignment vertical="center" wrapText="1"/>
    </xf>
    <xf numFmtId="49" fontId="85" fillId="0" borderId="30" xfId="0" applyFont="1" applyBorder="1" applyNumberFormat="1">
      <alignment horizontal="left" vertical="top" wrapText="1"/>
    </xf>
    <xf numFmtId="49" fontId="85" fillId="0" borderId="13" xfId="0" applyFont="1" applyBorder="1" applyNumberFormat="1">
      <alignment horizontal="left" vertical="top"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pplyNumberFormat="1">
      <alignment horizontal="center" vertical="center" wrapText="1"/>
    </xf>
    <xf numFmtId="49" fontId="85" fillId="0" borderId="36" xfId="0" applyFont="1" applyBorder="1" applyNumberFormat="1">
      <alignment horizontal="left" vertical="top" wrapText="1"/>
    </xf>
    <xf numFmtId="0" fontId="85" fillId="0" borderId="36" xfId="0" applyFont="1" applyBorder="1" applyNumberFormat="1">
      <alignment horizontal="left" vertical="top" wrapText="1"/>
    </xf>
    <xf numFmtId="49" fontId="85" fillId="0" borderId="0" xfId="0" applyFont="1" applyNumberFormat="1">
      <alignment horizontal="left" vertical="top" wrapText="1"/>
    </xf>
    <xf numFmtId="49" fontId="85" fillId="40" borderId="0" xfId="0" applyFont="1" applyFill="1" applyNumberFormat="1">
      <alignment horizontal="left" vertical="top" wrapText="1"/>
    </xf>
    <xf numFmtId="0" fontId="85" fillId="0" borderId="0" xfId="0" applyFont="1" applyNumberFormat="1">
      <alignment vertical="top" wrapText="1"/>
    </xf>
    <xf numFmtId="0" fontId="35" fillId="0" borderId="19" xfId="0" applyFont="1" applyBorder="1" applyNumberFormat="1">
      <alignment horizontal="left" vertical="center" wrapText="1" indent="1"/>
    </xf>
    <xf numFmtId="0" fontId="35" fillId="0" borderId="27" xfId="0" applyFont="1" applyBorder="1" applyNumberFormat="1">
      <alignment horizontal="left" vertical="center" wrapText="1" indent="1"/>
    </xf>
    <xf numFmtId="0" fontId="0" fillId="0" borderId="0" xfId="0" applyFont="1" applyNumberFormat="1">
      <alignment horizontal="left" vertical="center"/>
    </xf>
    <xf numFmtId="0" fontId="0" fillId="34" borderId="12" xfId="0" applyFont="1" applyFill="1" applyBorder="1" applyNumberFormat="1">
      <alignment horizontal="right" vertical="center" wrapText="1" indent="1"/>
    </xf>
    <xf numFmtId="0" fontId="0" fillId="0" borderId="14" xfId="0" applyFont="1" applyBorder="1" applyNumberFormat="1">
      <alignment vertical="center"/>
    </xf>
    <xf numFmtId="0" fontId="19" fillId="0" borderId="0" xfId="0" applyFont="1" applyNumberFormat="1">
      <alignment horizontal="left" vertical="center" wrapText="1"/>
    </xf>
    <xf numFmtId="0" fontId="19" fillId="0" borderId="0" xfId="0" applyFont="1" applyNumberFormat="1">
      <alignment horizontal="right"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4" fontId="19" fillId="33" borderId="12" xfId="0" applyFont="1" applyFill="1" applyBorder="1" applyNumberFormat="1">
      <alignment horizontal="left" vertical="center" wrapText="1"/>
    </xf>
    <xf numFmtId="0" fontId="19" fillId="0" borderId="0" xfId="0" applyFont="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19" fillId="39"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protection locked="0"/>
    </xf>
    <xf numFmtId="0" fontId="19" fillId="39" borderId="15" xfId="0" applyFont="1" applyFill="1" applyBorder="1" applyNumberFormat="1">
      <alignment horizontal="left" vertical="center" wrapText="1"/>
      <protection locked="0"/>
    </xf>
    <xf numFmtId="0" fontId="19" fillId="39" borderId="13" xfId="0" applyFont="1" applyFill="1" applyBorder="1" applyNumberFormat="1">
      <alignment horizontal="left" vertical="center" wrapText="1"/>
      <protection locked="0"/>
    </xf>
    <xf numFmtId="0" fontId="19" fillId="39" borderId="12" xfId="0" applyFont="1" applyFill="1" applyBorder="1" applyNumberFormat="1">
      <alignment horizontal="left" vertical="center" wrapText="1" indent="6"/>
      <protection locked="0"/>
    </xf>
    <xf numFmtId="174" fontId="0" fillId="38" borderId="12" xfId="0" applyFont="1" applyFill="1" applyBorder="1" applyNumberFormat="1">
      <alignment horizontal="center" vertical="center" wrapText="1"/>
      <protection locked="0"/>
    </xf>
    <xf numFmtId="49" fontId="19" fillId="0" borderId="12" xfId="0" applyFont="1" applyBorder="1" applyNumberFormat="1">
      <alignment horizontal="left" vertical="center" wrapText="1"/>
    </xf>
    <xf numFmtId="49" fontId="91" fillId="36" borderId="14" xfId="0" applyFont="1" applyFill="1" applyBorder="1" applyNumberFormat="1">
      <alignment horizontal="left" vertical="center"/>
    </xf>
    <xf numFmtId="49" fontId="99" fillId="36" borderId="15" xfId="0" applyFont="1" applyFill="1" applyBorder="1" applyNumberFormat="1">
      <alignment horizontal="left" vertical="center" indent="3"/>
    </xf>
    <xf numFmtId="49" fontId="63"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36" fillId="0" borderId="0" xfId="0" applyFont="1" applyNumberFormat="1">
      <alignment horizontal="left" vertical="center"/>
    </xf>
    <xf numFmtId="49" fontId="20" fillId="0" borderId="0" xfId="0" applyFont="1" applyNumberFormat="1">
      <alignment vertical="top"/>
    </xf>
    <xf numFmtId="49" fontId="0" fillId="0" borderId="24" xfId="0" applyFont="1" applyBorder="1" applyNumberFormat="1">
      <alignment vertical="top"/>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36" fillId="0" borderId="0" xfId="0" applyFont="1" applyNumberFormat="1">
      <alignment horizontal="left" vertical="center"/>
    </xf>
    <xf numFmtId="49" fontId="36" fillId="0" borderId="0" xfId="0" applyFont="1" applyNumberFormat="1">
      <alignment horizontal="left" vertical="top"/>
    </xf>
    <xf numFmtId="49" fontId="57" fillId="36" borderId="14" xfId="0" applyFont="1" applyFill="1" applyBorder="1" applyNumberFormat="1">
      <alignment horizontal="left" vertical="top"/>
    </xf>
    <xf numFmtId="49" fontId="99" fillId="36" borderId="15" xfId="0" applyFont="1" applyFill="1" applyBorder="1" applyNumberFormat="1">
      <alignment horizontal="left" vertical="center"/>
    </xf>
    <xf numFmtId="49" fontId="37" fillId="0" borderId="0" xfId="0" applyFont="1" applyNumberFormat="1">
      <alignment vertical="top"/>
    </xf>
    <xf numFmtId="0" fontId="19" fillId="0" borderId="0" xfId="0" applyFont="1" applyNumberFormat="1">
      <alignment horizontal="left" vertical="top" wrapText="1"/>
    </xf>
    <xf numFmtId="49" fontId="19" fillId="0" borderId="0" xfId="0" applyFont="1" applyNumberFormat="1">
      <alignment vertical="center" wrapText="1"/>
    </xf>
    <xf numFmtId="49" fontId="19" fillId="0" borderId="0" xfId="0" applyFont="1" applyNumberFormat="1">
      <alignment horizontal="left" vertical="center"/>
    </xf>
    <xf numFmtId="49" fontId="19" fillId="0" borderId="0" xfId="0" applyFont="1" applyNumberFormat="1">
      <alignment horizontal="left" vertical="center"/>
    </xf>
    <xf numFmtId="49" fontId="19" fillId="0" borderId="0" xfId="0" applyFont="1" applyNumberFormat="1">
      <alignment horizontal="left" vertical="top"/>
    </xf>
    <xf numFmtId="0" fontId="35" fillId="0" borderId="15" xfId="0" applyFont="1" applyBorder="1" applyNumberFormat="1">
      <alignment horizontal="left" vertical="center" wrapText="1" indent="1"/>
    </xf>
    <xf numFmtId="0" fontId="35" fillId="0" borderId="0" xfId="0" applyFont="1" applyNumberFormat="1">
      <alignment horizontal="center" vertical="center" wrapText="1"/>
    </xf>
    <xf numFmtId="0" fontId="0" fillId="0" borderId="0" xfId="0" applyFont="1" applyNumberFormat="1">
      <alignment horizontal="center" vertical="center"/>
    </xf>
    <xf numFmtId="0" fontId="19" fillId="33" borderId="14" xfId="0" applyFont="1" applyFill="1" applyBorder="1" applyNumberFormat="1">
      <alignment horizontal="left" vertical="center" wrapText="1" indent="1"/>
    </xf>
    <xf numFmtId="0" fontId="19" fillId="33" borderId="15" xfId="0" applyFont="1" applyFill="1" applyBorder="1" applyNumberFormat="1">
      <alignment horizontal="left" vertical="center" wrapText="1" indent="1"/>
    </xf>
    <xf numFmtId="0" fontId="19" fillId="33" borderId="13" xfId="0" applyFont="1" applyFill="1" applyBorder="1" applyNumberFormat="1">
      <alignment horizontal="left" vertical="center" wrapText="1" indent="1"/>
    </xf>
    <xf numFmtId="0" fontId="62" fillId="0" borderId="0" xfId="0" applyFont="1" applyNumberFormat="1">
      <alignment horizontal="left" vertical="center" wrapText="1"/>
    </xf>
    <xf numFmtId="0" fontId="37" fillId="0" borderId="0" xfId="0" applyFont="1" applyNumberFormat="1">
      <alignment vertical="center"/>
    </xf>
    <xf numFmtId="0" fontId="0" fillId="0" borderId="0" xfId="0" applyFont="1" applyNumberFormat="1">
      <alignment horizontal="right" vertical="center" wrapText="1" indent="1"/>
    </xf>
    <xf numFmtId="0" fontId="19" fillId="0" borderId="0" xfId="0" applyFont="1" applyNumberFormat="1">
      <alignment horizontal="left" vertical="center" wrapText="1" indent="1"/>
    </xf>
    <xf numFmtId="0" fontId="72" fillId="0" borderId="0" xfId="0" applyFont="1" applyNumberFormat="1">
      <alignment vertical="center" wrapText="1"/>
    </xf>
    <xf numFmtId="0" fontId="72" fillId="0" borderId="0" xfId="0" applyFont="1" applyNumberFormat="1">
      <alignment horizontal="center" vertical="center" wrapText="1"/>
    </xf>
    <xf numFmtId="0" fontId="19" fillId="34" borderId="12" xfId="0" applyFont="1" applyFill="1" applyBorder="1" applyNumberFormat="1">
      <alignment horizontal="center" vertical="center" wrapText="1"/>
    </xf>
    <xf numFmtId="49" fontId="29" fillId="36" borderId="12" xfId="0" applyFont="1" applyFill="1" applyBorder="1" applyNumberFormat="1">
      <alignment horizontal="center" vertical="center" textRotation="90" wrapText="1"/>
    </xf>
    <xf numFmtId="0" fontId="0" fillId="0" borderId="12" xfId="0" applyFont="1" applyBorder="1" applyNumberFormat="1">
      <alignment horizontal="center" vertical="center" wrapText="1"/>
    </xf>
    <xf numFmtId="0" fontId="24" fillId="34" borderId="0" xfId="0" applyFont="1" applyFill="1" applyNumberFormat="1">
      <alignment horizontal="center" vertical="center" wrapText="1"/>
    </xf>
    <xf numFmtId="0" fontId="24" fillId="34" borderId="0" xfId="0" applyFont="1" applyFill="1" applyNumberFormat="1">
      <alignment horizontal="center" vertical="center" wrapText="1"/>
    </xf>
    <xf numFmtId="49" fontId="37" fillId="0" borderId="0" xfId="0" applyFont="1" applyNumberFormat="1">
      <alignment vertical="center" wrapText="1"/>
    </xf>
    <xf numFmtId="0" fontId="19" fillId="0" borderId="12" xfId="0" applyFont="1" applyBorder="1" applyNumberFormat="1">
      <alignment vertical="center" wrapText="1"/>
    </xf>
    <xf numFmtId="49" fontId="37" fillId="0" borderId="0" xfId="0" applyFont="1" applyNumberFormat="1">
      <alignment vertical="center"/>
    </xf>
    <xf numFmtId="0" fontId="20" fillId="0" borderId="0" xfId="0" applyFont="1" applyNumberFormat="1">
      <alignment horizontal="center" vertical="center" wrapText="1"/>
    </xf>
    <xf numFmtId="0" fontId="25" fillId="34" borderId="0" xfId="0" applyFont="1" applyFill="1" applyNumberFormat="1">
      <alignment horizontal="center" vertical="center" wrapText="1"/>
    </xf>
    <xf numFmtId="0" fontId="25" fillId="34" borderId="0" xfId="0" applyFont="1" applyFill="1" applyNumberFormat="1">
      <alignment vertical="center" wrapText="1"/>
    </xf>
    <xf numFmtId="49" fontId="19" fillId="38" borderId="12" xfId="0" applyFont="1" applyFill="1" applyBorder="1" applyNumberFormat="1">
      <alignment horizontal="left" vertical="center" wrapText="1" indent="4"/>
      <protection locked="0"/>
    </xf>
    <xf numFmtId="49" fontId="19" fillId="0" borderId="12"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172" fontId="0" fillId="38" borderId="12" xfId="0" applyFont="1" applyFill="1" applyBorder="1" applyNumberFormat="1">
      <alignment horizontal="right" vertical="center"/>
      <protection locked="0"/>
    </xf>
    <xf numFmtId="49" fontId="19" fillId="39" borderId="12" xfId="0" applyFont="1" applyFill="1" applyBorder="1" applyNumberFormat="1">
      <alignment horizontal="center" vertical="center" wrapText="1"/>
    </xf>
    <xf numFmtId="49" fontId="0" fillId="34" borderId="12" xfId="0" applyFont="1" applyFill="1" applyBorder="1" applyNumberFormat="1">
      <alignment horizontal="center" vertical="center" wrapText="1"/>
    </xf>
    <xf numFmtId="4" fontId="0" fillId="34" borderId="14" xfId="0" applyFont="1" applyFill="1" applyBorder="1" applyNumberFormat="1">
      <alignment horizontal="right" vertical="center"/>
    </xf>
    <xf numFmtId="0" fontId="19" fillId="0" borderId="12" xfId="0" applyFont="1" applyBorder="1" applyNumberFormat="1">
      <alignment horizontal="left" vertical="center" wrapText="1"/>
    </xf>
    <xf numFmtId="49" fontId="0" fillId="0" borderId="12" xfId="0" applyFont="1" applyBorder="1" applyNumberFormat="1">
      <alignment vertical="center" wrapText="1"/>
    </xf>
    <xf numFmtId="49" fontId="19" fillId="0" borderId="12" xfId="0" applyFont="1" applyBorder="1" applyNumberFormat="1">
      <alignment vertical="center" wrapText="1"/>
    </xf>
    <xf numFmtId="0" fontId="19" fillId="0" borderId="14" xfId="0" applyFont="1" applyBorder="1" applyNumberFormat="1">
      <alignment horizontal="left" vertical="center" wrapText="1" indent="6"/>
    </xf>
    <xf numFmtId="49" fontId="60" fillId="36" borderId="14" xfId="0" applyFont="1" applyFill="1" applyBorder="1" applyNumberFormat="1">
      <alignment horizontal="center" vertical="center"/>
    </xf>
    <xf numFmtId="49" fontId="29" fillId="36" borderId="15" xfId="0" applyFont="1" applyFill="1" applyBorder="1" applyNumberFormat="1">
      <alignment horizontal="left" vertical="center" indent="2"/>
    </xf>
    <xf numFmtId="49" fontId="60" fillId="36" borderId="15" xfId="0" applyFont="1" applyFill="1" applyBorder="1" applyNumberFormat="1">
      <alignment horizontal="left" vertical="center"/>
    </xf>
    <xf numFmtId="49" fontId="0" fillId="36" borderId="15" xfId="0" applyFont="1" applyFill="1" applyBorder="1" applyNumberFormat="1">
      <alignment horizontal="center" vertical="center" wrapText="1"/>
    </xf>
    <xf numFmtId="49" fontId="19" fillId="0" borderId="0" xfId="0" applyFont="1" applyNumberFormat="1">
      <alignment vertical="top"/>
    </xf>
    <xf numFmtId="49" fontId="19" fillId="36" borderId="29" xfId="0" applyFont="1" applyFill="1" applyBorder="1" applyNumberFormat="1">
      <alignment horizontal="center" vertical="center" wrapText="1"/>
    </xf>
    <xf numFmtId="49" fontId="19" fillId="0" borderId="0" xfId="0" applyFont="1" applyNumberFormat="1">
      <alignment vertical="center"/>
    </xf>
    <xf numFmtId="49" fontId="20" fillId="0" borderId="0" xfId="0" applyFont="1" applyNumberFormat="1">
      <alignment vertical="top"/>
    </xf>
    <xf numFmtId="0" fontId="37" fillId="0" borderId="0" xfId="0" applyFont="1" applyNumberFormat="1">
      <alignment vertical="top" wrapText="1"/>
    </xf>
    <xf numFmtId="49" fontId="0"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2" borderId="17" xfId="0" applyFont="1" applyFill="1" applyBorder="1" applyNumberFormat="1">
      <alignment vertical="top"/>
    </xf>
    <xf numFmtId="49" fontId="0" fillId="0" borderId="14" xfId="0" applyFont="1" applyBorder="1" applyNumberFormat="1">
      <alignment horizontal="center" vertical="top"/>
    </xf>
    <xf numFmtId="49" fontId="0" fillId="43"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44"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49" fontId="0" fillId="34" borderId="0" xfId="0" applyFont="1" applyFill="1" applyNumberFormat="1">
      <alignment vertical="top"/>
    </xf>
    <xf numFmtId="49" fontId="0" fillId="34" borderId="0" xfId="0" applyFont="1" applyFill="1" applyNumberFormat="1">
      <alignment vertical="top"/>
    </xf>
    <xf numFmtId="0" fontId="0" fillId="0" borderId="0" xfId="0" applyFont="1" applyNumberFormat="1"/>
    <xf numFmtId="0" fontId="1" fillId="0" borderId="0" xfId="0" applyFont="1" applyNumberFormat="1"/>
    <xf numFmtId="0" fontId="27" fillId="0" borderId="0" xfId="0" applyFont="1" applyNumberFormat="1"/>
    <xf numFmtId="0" fontId="27" fillId="0" borderId="0" xfId="0" applyFont="1" applyNumberFormat="1"/>
    <xf numFmtId="49" fontId="19" fillId="33" borderId="10" xfId="0" applyFont="1" applyFill="1" applyBorder="1" applyNumberFormat="1">
      <alignment horizontal="center" vertical="top"/>
    </xf>
    <xf numFmtId="49" fontId="26" fillId="0" borderId="11" xfId="0" applyFont="1" applyBorder="1" applyNumberFormat="1">
      <alignment vertical="top" wrapText="1"/>
    </xf>
    <xf numFmtId="0" fontId="0" fillId="0" borderId="11" xfId="0" applyFont="1" applyBorder="1" applyNumberFormat="1">
      <alignment vertical="top" wrapText="1"/>
    </xf>
    <xf numFmtId="0" fontId="35"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39" fillId="0" borderId="11" xfId="0" applyFont="1" applyBorder="1" applyNumberFormat="1">
      <alignment vertical="center" wrapText="1"/>
    </xf>
    <xf numFmtId="0" fontId="35" fillId="0" borderId="0" xfId="0" applyFont="1" applyNumberFormat="1">
      <alignment vertical="top" wrapText="1"/>
    </xf>
    <xf numFmtId="0" fontId="19" fillId="0" borderId="11" xfId="0" applyFont="1" applyBorder="1" applyNumberFormat="1">
      <alignment vertical="center" wrapText="1"/>
    </xf>
  </cellXfs>
  <cellStyles count="47">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sharedStrings" Target="sharedStrings.xml"/><Relationship Id="rId8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 Id="rId2"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4</xdr:row>
      <xdr:rowOff>0</xdr:rowOff>
    </xdr:from>
    <xdr:to>
      <xdr:col>8</xdr:col>
      <xdr:colOff>219075</xdr:colOff>
      <xdr:row>4</xdr:row>
      <xdr:rowOff>219075</xdr:rowOff>
    </xdr:to>
    <xdr:pic>
      <xdr:nvPicPr>
        <xdr:cNvPr id="1" name="cmdCreatePrintedForm" descr="Создание печатной формы"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31</xdr:row>
      <xdr:rowOff>0</xdr:rowOff>
    </xdr:to>
    <xdr:pic>
      <xdr:nvPicPr>
        <xdr:cNvPr id="2" name="UPDATE_PLAN1X_DATA"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twoCellAnchor editAs="oneCell">
    <xdr:from>
      <xdr:col>3</xdr:col>
      <xdr:colOff>104775</xdr:colOff>
      <xdr:row>65</xdr:row>
      <xdr:rowOff>76200</xdr:rowOff>
    </xdr:from>
    <xdr:to>
      <xdr:col>4</xdr:col>
      <xdr:colOff>312325</xdr:colOff>
      <xdr:row>65</xdr:row>
      <xdr:rowOff>400241</xdr:rowOff>
    </xdr:to>
    <xdr:pic>
      <xdr:nvPicPr>
        <xdr:cNvPr id="3" name="PHONE_PIC"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https://rst.donland.ru" TargetMode="External"/><Relationship Id="rId5" Type="http://schemas.openxmlformats.org/officeDocument/2006/relationships/hyperlink" Target="mailto:ympts@bk.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xml"/><Relationship Id="rId2" Type="http://schemas.openxmlformats.org/officeDocument/2006/relationships/hyperlink" Target="http://teploenergo-azov.ru/yslov.php?id=30" TargetMode="External"/><Relationship Id="rId3" Type="http://schemas.openxmlformats.org/officeDocument/2006/relationships/hyperlink" Target="https://portal.eias.ru/Portal/DownloadPage.aspx?type=12&amp;guid=d24c14b9-35d5-4f0d-8bd7-11e2f27186b8" TargetMode="External"/><Relationship Id="rId4" Type="http://schemas.openxmlformats.org/officeDocument/2006/relationships/hyperlink" Target="https://portal.eias.ru/Portal/DownloadPage.aspx?type=12&amp;guid=71885457-7a0d-4657-a510-bf7454dddadc" TargetMode="External"/><Relationship Id="rId5" Type="http://schemas.openxmlformats.org/officeDocument/2006/relationships/hyperlink" Target="https://portal.eias.ru/Portal/DownloadPage.aspx?type=12&amp;guid=71885457-7a0d-4657-a510-bf7454dddadc" TargetMode="Externa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55.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57.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B6247D-E9C8-4768-9448-CCE75BE0308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500" width="5.421875" customWidth="1"/>
    <col min="2" max="2" style="2500" width="9.140625" customWidth="1"/>
    <col min="3" max="3" style="2500" width="16.421875" customWidth="1"/>
    <col min="4" max="25" style="2500" width="6.28125" customWidth="1"/>
    <col min="26" max="28" style="2500" width="11.00390625"/>
  </cols>
  <sheetData>
    <row customHeight="1" ht="15.75">
      <c r="A1" s="1740"/>
      <c r="B1" s="1741"/>
      <c r="C1" s="1741"/>
      <c r="D1" s="1741"/>
      <c r="E1" s="1741"/>
      <c r="F1" s="1741"/>
      <c r="G1" s="1741"/>
      <c r="H1" s="1741"/>
      <c r="I1" s="1741"/>
      <c r="J1" s="1741"/>
      <c r="K1" s="1741"/>
      <c r="L1" s="1741"/>
      <c r="M1" s="1741"/>
      <c r="N1" s="1741"/>
      <c r="O1" s="1741"/>
      <c r="P1" s="1741"/>
      <c r="Q1" s="1741"/>
      <c r="R1" s="1741"/>
      <c r="S1" s="1741"/>
      <c r="T1" s="1741"/>
      <c r="U1" s="1741"/>
      <c r="V1" s="1741"/>
      <c r="W1" s="1741"/>
      <c r="X1" s="1741"/>
      <c r="Y1" s="1742"/>
      <c r="Z1" s="1741"/>
      <c r="AA1" s="1743" t="s">
        <v>0</v>
      </c>
      <c r="AB1" s="1741"/>
    </row>
    <row customHeight="1" ht="17.25">
      <c r="A2" s="1741"/>
      <c r="B2" s="1941" t="s">
        <v>1</v>
      </c>
      <c r="C2" s="1941"/>
      <c r="D2" s="1941"/>
      <c r="E2" s="1941"/>
      <c r="F2" s="1941"/>
      <c r="G2" s="1941"/>
      <c r="H2" s="1941"/>
      <c r="I2" s="1941"/>
      <c r="J2" s="1941"/>
      <c r="K2" s="1941"/>
      <c r="L2" s="1941"/>
      <c r="M2" s="1941"/>
      <c r="N2" s="1941"/>
      <c r="O2" s="1941"/>
      <c r="P2" s="1941"/>
      <c r="Q2" s="1745"/>
      <c r="R2" s="1745"/>
      <c r="S2" s="1745"/>
      <c r="T2" s="1745"/>
      <c r="U2" s="1745"/>
      <c r="V2" s="1746"/>
      <c r="W2" s="1745"/>
      <c r="X2" s="1745"/>
      <c r="Y2" s="1742"/>
      <c r="Z2" s="1741"/>
      <c r="AA2" s="1743"/>
      <c r="AB2" s="1741"/>
    </row>
    <row customHeight="1" ht="15.75">
      <c r="A3" s="1741"/>
      <c r="B3" s="1942" t="s">
        <v>2</v>
      </c>
      <c r="C3" s="1942"/>
      <c r="D3" s="1942"/>
      <c r="E3" s="1942"/>
      <c r="F3" s="1942"/>
      <c r="G3" s="1942"/>
      <c r="H3" s="1942"/>
      <c r="I3" s="1942"/>
      <c r="J3" s="1942"/>
      <c r="K3" s="1942"/>
      <c r="L3" s="1942"/>
      <c r="M3" s="1942"/>
      <c r="N3" s="1942"/>
      <c r="O3" s="1942"/>
      <c r="P3" s="1942"/>
      <c r="Q3" s="1746"/>
      <c r="R3" s="1746"/>
      <c r="S3" s="1745"/>
      <c r="T3" s="1745"/>
      <c r="U3" s="1745"/>
      <c r="V3" s="1746"/>
      <c r="W3" s="1746"/>
      <c r="X3" s="1746"/>
      <c r="Y3" s="1746"/>
      <c r="Z3" s="1741"/>
      <c r="AA3" s="1743"/>
      <c r="AB3" s="1741"/>
    </row>
    <row customHeight="1" ht="17.25">
      <c r="A4" s="1741"/>
      <c r="B4" s="1747"/>
      <c r="C4" s="1741"/>
      <c r="D4" s="1746"/>
      <c r="E4" s="1746"/>
      <c r="F4" s="1746"/>
      <c r="G4" s="1746"/>
      <c r="H4" s="1746"/>
      <c r="I4" s="1746"/>
      <c r="J4" s="1746"/>
      <c r="K4" s="1746"/>
      <c r="L4" s="1746"/>
      <c r="M4" s="1746"/>
      <c r="N4" s="1746"/>
      <c r="O4" s="1746"/>
      <c r="P4" s="1746"/>
      <c r="Q4" s="1746"/>
      <c r="R4" s="1746"/>
      <c r="S4" s="1746"/>
      <c r="T4" s="1746"/>
      <c r="U4" s="1746"/>
      <c r="V4" s="1746"/>
      <c r="W4" s="1746"/>
      <c r="X4" s="1746"/>
      <c r="Y4" s="1746"/>
      <c r="Z4" s="1741"/>
      <c r="AA4" s="1743"/>
      <c r="AB4" s="1741"/>
    </row>
    <row customHeight="1" ht="22.5">
      <c r="A5" s="1748"/>
      <c r="B5" s="1943"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1944"/>
      <c r="D5" s="1944"/>
      <c r="E5" s="1944"/>
      <c r="F5" s="1944"/>
      <c r="G5" s="1944"/>
      <c r="H5" s="1944"/>
      <c r="I5" s="1944"/>
      <c r="J5" s="1944"/>
      <c r="K5" s="1944"/>
      <c r="L5" s="1944"/>
      <c r="M5" s="1944"/>
      <c r="N5" s="1944"/>
      <c r="O5" s="1944"/>
      <c r="P5" s="1944"/>
      <c r="Q5" s="1944"/>
      <c r="R5" s="1944"/>
      <c r="S5" s="1944"/>
      <c r="T5" s="1944"/>
      <c r="U5" s="1944"/>
      <c r="V5" s="1944"/>
      <c r="W5" s="1944"/>
      <c r="X5" s="1944"/>
      <c r="Y5" s="1945"/>
      <c r="Z5" s="1748"/>
      <c r="AA5" s="1743"/>
      <c r="AB5" s="1748"/>
    </row>
    <row customHeight="1" ht="15">
      <c r="A6" s="1749"/>
      <c r="B6" s="1933" t="s">
        <v>3</v>
      </c>
      <c r="C6" s="1936"/>
      <c r="D6" s="1750"/>
      <c r="E6" s="1750"/>
      <c r="F6" s="1750"/>
      <c r="G6" s="1750"/>
      <c r="H6" s="1750"/>
      <c r="I6" s="1750"/>
      <c r="J6" s="1750"/>
      <c r="K6" s="1750"/>
      <c r="L6" s="1750"/>
      <c r="M6" s="1750"/>
      <c r="N6" s="1750"/>
      <c r="O6" s="1750"/>
      <c r="P6" s="1750"/>
      <c r="Q6" s="1750"/>
      <c r="R6" s="1750"/>
      <c r="S6" s="1750"/>
      <c r="T6" s="1750"/>
      <c r="U6" s="1750"/>
      <c r="V6" s="1750"/>
      <c r="W6" s="1750"/>
      <c r="X6" s="1750"/>
      <c r="Y6" s="1751"/>
      <c r="Z6" s="1752"/>
      <c r="AA6" s="1753"/>
      <c r="AB6" s="1753"/>
    </row>
    <row customHeight="1" ht="15">
      <c r="A7" s="1749"/>
      <c r="B7" s="1933"/>
      <c r="C7" s="1936"/>
      <c r="D7" s="1750"/>
      <c r="E7" s="1750"/>
      <c r="F7" s="1754"/>
      <c r="G7" s="1754"/>
      <c r="H7" s="1754"/>
      <c r="I7" s="1754"/>
      <c r="J7" s="1754"/>
      <c r="K7" s="1754"/>
      <c r="L7" s="1754"/>
      <c r="M7" s="1754"/>
      <c r="N7" s="1754"/>
      <c r="O7" s="1750"/>
      <c r="P7" s="1754"/>
      <c r="Q7" s="1754"/>
      <c r="R7" s="1754"/>
      <c r="S7" s="1754"/>
      <c r="T7" s="1754"/>
      <c r="U7" s="1754"/>
      <c r="V7" s="1754"/>
      <c r="W7" s="1754"/>
      <c r="X7" s="1754"/>
      <c r="Y7" s="1751"/>
      <c r="Z7" s="1752"/>
      <c r="AA7" s="1753"/>
      <c r="AB7" s="1753"/>
    </row>
    <row customHeight="1" ht="15">
      <c r="A8" s="1749"/>
      <c r="B8" s="1933"/>
      <c r="C8" s="1936"/>
      <c r="D8" s="1755"/>
      <c r="E8" s="1756" t="s">
        <v>4</v>
      </c>
      <c r="F8" s="1946" t="s">
        <v>5</v>
      </c>
      <c r="G8" s="1935"/>
      <c r="H8" s="1935"/>
      <c r="I8" s="1935"/>
      <c r="J8" s="1935"/>
      <c r="K8" s="1935"/>
      <c r="L8" s="1935"/>
      <c r="M8" s="1935"/>
      <c r="N8" s="1755"/>
      <c r="O8" s="1757" t="s">
        <v>4</v>
      </c>
      <c r="P8" s="1947" t="s">
        <v>6</v>
      </c>
      <c r="Q8" s="1948"/>
      <c r="R8" s="1948"/>
      <c r="S8" s="1948"/>
      <c r="T8" s="1948"/>
      <c r="U8" s="1948"/>
      <c r="V8" s="1948"/>
      <c r="W8" s="1948"/>
      <c r="X8" s="1948"/>
      <c r="Y8" s="1751"/>
      <c r="Z8" s="1752"/>
      <c r="AA8" s="1753"/>
      <c r="AB8" s="1753"/>
    </row>
    <row customHeight="1" ht="15">
      <c r="A9" s="1749"/>
      <c r="B9" s="1933"/>
      <c r="C9" s="1936"/>
      <c r="D9" s="1755"/>
      <c r="E9" s="1758" t="s">
        <v>4</v>
      </c>
      <c r="F9" s="1946" t="s">
        <v>7</v>
      </c>
      <c r="G9" s="1935"/>
      <c r="H9" s="1935"/>
      <c r="I9" s="1935"/>
      <c r="J9" s="1935"/>
      <c r="K9" s="1935"/>
      <c r="L9" s="1935"/>
      <c r="M9" s="1935"/>
      <c r="N9" s="1755"/>
      <c r="O9" s="1759" t="s">
        <v>4</v>
      </c>
      <c r="P9" s="1947" t="s">
        <v>8</v>
      </c>
      <c r="Q9" s="1948"/>
      <c r="R9" s="1948"/>
      <c r="S9" s="1948"/>
      <c r="T9" s="1948"/>
      <c r="U9" s="1948"/>
      <c r="V9" s="1948"/>
      <c r="W9" s="1948"/>
      <c r="X9" s="1948"/>
      <c r="Y9" s="1751"/>
      <c r="Z9" s="1752"/>
      <c r="AA9" s="1753"/>
      <c r="AB9" s="1753"/>
    </row>
    <row customHeight="1" ht="30">
      <c r="A10" s="1749"/>
      <c r="B10" s="1933"/>
      <c r="C10" s="1934"/>
      <c r="D10" s="1760"/>
      <c r="E10" s="1761"/>
      <c r="F10" s="1754"/>
      <c r="G10" s="1754"/>
      <c r="H10" s="1754"/>
      <c r="I10" s="1754"/>
      <c r="J10" s="1754"/>
      <c r="K10" s="1754"/>
      <c r="L10" s="1754"/>
      <c r="M10" s="1754"/>
      <c r="N10" s="1754"/>
      <c r="O10" s="1761"/>
      <c r="P10" s="1754"/>
      <c r="Q10" s="1754"/>
      <c r="R10" s="1754"/>
      <c r="S10" s="1754"/>
      <c r="T10" s="1754"/>
      <c r="U10" s="1754"/>
      <c r="V10" s="1754"/>
      <c r="W10" s="1754"/>
      <c r="X10" s="1754"/>
      <c r="Y10" s="1751"/>
      <c r="Z10" s="1752"/>
      <c r="AA10" s="1753"/>
      <c r="AB10" s="1753"/>
    </row>
    <row customHeight="1" ht="19.5">
      <c r="A11" s="1749"/>
      <c r="B11" s="1931" t="s">
        <v>9</v>
      </c>
      <c r="C11" s="1932"/>
      <c r="D11" s="1755"/>
      <c r="E11" s="1762"/>
      <c r="F11" s="1762"/>
      <c r="G11" s="1762"/>
      <c r="H11" s="1762"/>
      <c r="I11" s="1762"/>
      <c r="J11" s="1762"/>
      <c r="K11" s="1762"/>
      <c r="L11" s="1762"/>
      <c r="M11" s="1762"/>
      <c r="N11" s="1762"/>
      <c r="O11" s="1762"/>
      <c r="P11" s="1762"/>
      <c r="Q11" s="1762"/>
      <c r="R11" s="1762"/>
      <c r="S11" s="1762"/>
      <c r="T11" s="1762"/>
      <c r="U11" s="1762"/>
      <c r="V11" s="1762"/>
      <c r="W11" s="1762"/>
      <c r="X11" s="1762"/>
      <c r="Y11" s="1751"/>
      <c r="Z11" s="1752"/>
      <c r="AA11" s="1753"/>
      <c r="AB11" s="1753"/>
    </row>
    <row customHeight="1" ht="69">
      <c r="A12" s="1749"/>
      <c r="B12" s="1933"/>
      <c r="C12" s="1934"/>
      <c r="D12" s="1763"/>
      <c r="E12" s="1935" t="s">
        <v>10</v>
      </c>
      <c r="F12" s="1935"/>
      <c r="G12" s="1935"/>
      <c r="H12" s="1935"/>
      <c r="I12" s="1935"/>
      <c r="J12" s="1935"/>
      <c r="K12" s="1935"/>
      <c r="L12" s="1935"/>
      <c r="M12" s="1935"/>
      <c r="N12" s="1935"/>
      <c r="O12" s="1935"/>
      <c r="P12" s="1935"/>
      <c r="Q12" s="1935"/>
      <c r="R12" s="1935"/>
      <c r="S12" s="1935"/>
      <c r="T12" s="1935"/>
      <c r="U12" s="1935"/>
      <c r="V12" s="1935"/>
      <c r="W12" s="1935"/>
      <c r="X12" s="1935"/>
      <c r="Y12" s="1751"/>
      <c r="Z12" s="1752"/>
      <c r="AA12" s="1753"/>
      <c r="AB12" s="1753"/>
    </row>
    <row customHeight="1" ht="15">
      <c r="A13" s="1749"/>
      <c r="B13" s="1931" t="s">
        <v>11</v>
      </c>
      <c r="C13" s="1932"/>
      <c r="D13" s="1750"/>
      <c r="E13" s="1762"/>
      <c r="F13" s="1762"/>
      <c r="G13" s="1762"/>
      <c r="H13" s="1762"/>
      <c r="I13" s="1762"/>
      <c r="J13" s="1762"/>
      <c r="K13" s="1762"/>
      <c r="L13" s="1762"/>
      <c r="M13" s="1762"/>
      <c r="N13" s="1762"/>
      <c r="O13" s="1762"/>
      <c r="P13" s="1762"/>
      <c r="Q13" s="1762"/>
      <c r="R13" s="1762"/>
      <c r="S13" s="1762"/>
      <c r="T13" s="1762"/>
      <c r="U13" s="1762"/>
      <c r="V13" s="1762"/>
      <c r="W13" s="1762"/>
      <c r="X13" s="1762"/>
      <c r="Y13" s="1751"/>
      <c r="Z13" s="1752"/>
      <c r="AA13" s="1753"/>
      <c r="AB13" s="1753"/>
    </row>
    <row customHeight="1" ht="57">
      <c r="A14" s="1749"/>
      <c r="B14" s="1933"/>
      <c r="C14" s="1936"/>
      <c r="D14" s="1755"/>
      <c r="E14" s="1939" t="s">
        <v>12</v>
      </c>
      <c r="F14" s="1939"/>
      <c r="G14" s="1939"/>
      <c r="H14" s="1939"/>
      <c r="I14" s="1939"/>
      <c r="J14" s="1939"/>
      <c r="K14" s="1939"/>
      <c r="L14" s="1939"/>
      <c r="M14" s="1939"/>
      <c r="N14" s="1939"/>
      <c r="O14" s="1939"/>
      <c r="P14" s="1939"/>
      <c r="Q14" s="1939"/>
      <c r="R14" s="1939"/>
      <c r="S14" s="1939"/>
      <c r="T14" s="1939"/>
      <c r="U14" s="1939"/>
      <c r="V14" s="1939"/>
      <c r="W14" s="1939"/>
      <c r="X14" s="1939"/>
      <c r="Y14" s="1751"/>
      <c r="Z14" s="1752"/>
      <c r="AA14" s="1753"/>
      <c r="AB14" s="1753"/>
    </row>
    <row customHeight="1" ht="16.5">
      <c r="A15" s="1749"/>
      <c r="B15" s="1937"/>
      <c r="C15" s="1938"/>
      <c r="D15" s="1764"/>
      <c r="E15" s="1765"/>
      <c r="F15" s="1765"/>
      <c r="G15" s="1765"/>
      <c r="H15" s="1765"/>
      <c r="I15" s="1765"/>
      <c r="J15" s="1765"/>
      <c r="K15" s="1765"/>
      <c r="L15" s="1765"/>
      <c r="M15" s="1765"/>
      <c r="N15" s="1765"/>
      <c r="O15" s="1765"/>
      <c r="P15" s="1765"/>
      <c r="Q15" s="1765"/>
      <c r="R15" s="1765"/>
      <c r="S15" s="1765"/>
      <c r="T15" s="1765"/>
      <c r="U15" s="1765"/>
      <c r="V15" s="1765"/>
      <c r="W15" s="1765"/>
      <c r="X15" s="1765"/>
      <c r="Y15" s="1766"/>
      <c r="Z15" s="1752"/>
      <c r="AA15" s="1767"/>
      <c r="AB15" s="1753"/>
    </row>
    <row customHeight="1" ht="95.25">
      <c r="A16" s="1741"/>
      <c r="B16" s="1939"/>
      <c r="C16" s="1940"/>
      <c r="D16" s="1940"/>
      <c r="E16" s="1940"/>
      <c r="F16" s="1940"/>
      <c r="G16" s="1940"/>
      <c r="H16" s="1940"/>
      <c r="I16" s="1940"/>
      <c r="J16" s="1940"/>
      <c r="K16" s="1940"/>
      <c r="L16" s="1940"/>
      <c r="M16" s="1940"/>
      <c r="N16" s="1940"/>
      <c r="O16" s="1940"/>
      <c r="P16" s="1940"/>
      <c r="Q16" s="1940"/>
      <c r="R16" s="1940"/>
      <c r="S16" s="1940"/>
      <c r="T16" s="1940"/>
      <c r="U16" s="1940"/>
      <c r="V16" s="1940"/>
      <c r="W16" s="1940"/>
      <c r="X16" s="1940"/>
      <c r="Y16" s="1940"/>
      <c r="Z16" s="1741"/>
      <c r="AA16" s="1743"/>
      <c r="AB16" s="1741"/>
    </row>
    <row customHeight="1" ht="14.25">
      <c r="A17" s="1741"/>
      <c r="B17" s="1741"/>
      <c r="C17" s="1741"/>
      <c r="D17" s="1741"/>
      <c r="E17" s="1741"/>
      <c r="F17" s="1741"/>
      <c r="G17" s="1741"/>
      <c r="H17" s="1741"/>
      <c r="I17" s="1741"/>
      <c r="J17" s="1741"/>
      <c r="K17" s="1741"/>
      <c r="L17" s="1741"/>
      <c r="M17" s="1741"/>
      <c r="N17" s="1741"/>
      <c r="O17" s="1741"/>
      <c r="P17" s="1741"/>
      <c r="Q17" s="1741"/>
      <c r="R17" s="1741"/>
      <c r="S17" s="1741"/>
      <c r="T17" s="1741"/>
      <c r="U17" s="1741"/>
      <c r="V17" s="1741"/>
      <c r="W17" s="1741"/>
      <c r="X17" s="1741"/>
      <c r="Y17" s="1742"/>
      <c r="Z17" s="1741"/>
      <c r="AA17" s="1743"/>
      <c r="AB17" s="1741"/>
    </row>
    <row customHeight="1" ht="14.25">
      <c r="A18" s="1741"/>
      <c r="B18" s="1741"/>
      <c r="C18" s="1741"/>
      <c r="D18" s="1741"/>
      <c r="E18" s="1741"/>
      <c r="F18" s="1741"/>
      <c r="G18" s="1741"/>
      <c r="H18" s="1741"/>
      <c r="I18" s="1741"/>
      <c r="J18" s="1741"/>
      <c r="K18" s="1741"/>
      <c r="L18" s="1741"/>
      <c r="M18" s="1741"/>
      <c r="N18" s="1741"/>
      <c r="O18" s="1741"/>
      <c r="P18" s="1741"/>
      <c r="Q18" s="1741"/>
      <c r="R18" s="1741"/>
      <c r="S18" s="1741"/>
      <c r="T18" s="1741"/>
      <c r="U18" s="1741"/>
      <c r="V18" s="1741"/>
      <c r="W18" s="1741"/>
      <c r="X18" s="1741"/>
      <c r="Y18" s="1742"/>
      <c r="Z18" s="1741"/>
      <c r="AA18" s="1743"/>
      <c r="AB18" s="1741"/>
    </row>
    <row customHeight="1" ht="14.25">
      <c r="A19" s="1741"/>
      <c r="B19" s="1741"/>
      <c r="C19" s="1741"/>
      <c r="D19" s="1741"/>
      <c r="E19" s="1741"/>
      <c r="F19" s="1741"/>
      <c r="G19" s="1741"/>
      <c r="H19" s="1741"/>
      <c r="I19" s="1741"/>
      <c r="J19" s="1741"/>
      <c r="K19" s="1741"/>
      <c r="L19" s="1741"/>
      <c r="M19" s="1741"/>
      <c r="N19" s="1741"/>
      <c r="O19" s="1741"/>
      <c r="P19" s="1741"/>
      <c r="Q19" s="1741"/>
      <c r="R19" s="1741"/>
      <c r="S19" s="1741"/>
      <c r="T19" s="1741"/>
      <c r="U19" s="1741"/>
      <c r="V19" s="1741"/>
      <c r="W19" s="1741"/>
      <c r="X19" s="1741"/>
      <c r="Y19" s="1742"/>
      <c r="Z19" s="1741"/>
      <c r="AA19" s="1743"/>
      <c r="AB19" s="1741"/>
    </row>
    <row customHeight="1" ht="14.25">
      <c r="A20" s="1741"/>
      <c r="B20" s="1741"/>
      <c r="C20" s="1741"/>
      <c r="D20" s="1741"/>
      <c r="E20" s="1741"/>
      <c r="F20" s="1741"/>
      <c r="G20" s="1741"/>
      <c r="H20" s="1741"/>
      <c r="I20" s="1741"/>
      <c r="J20" s="1741"/>
      <c r="K20" s="1741"/>
      <c r="L20" s="1741"/>
      <c r="M20" s="1741"/>
      <c r="N20" s="1741"/>
      <c r="O20" s="1741"/>
      <c r="P20" s="1741"/>
      <c r="Q20" s="1741"/>
      <c r="R20" s="1741"/>
      <c r="S20" s="1741"/>
      <c r="T20" s="1741"/>
      <c r="U20" s="1741"/>
      <c r="V20" s="1741"/>
      <c r="W20" s="1741"/>
      <c r="X20" s="1741"/>
      <c r="Y20" s="1742"/>
      <c r="Z20" s="1741"/>
      <c r="AA20" s="1743"/>
      <c r="AB20" s="1741"/>
    </row>
    <row customHeight="1" ht="14.25">
      <c r="A21" s="1741"/>
      <c r="B21" s="1741"/>
      <c r="C21" s="1741"/>
      <c r="D21" s="1741"/>
      <c r="E21" s="1741"/>
      <c r="F21" s="1741"/>
      <c r="G21" s="1741"/>
      <c r="H21" s="1741"/>
      <c r="I21" s="1741"/>
      <c r="J21" s="1741"/>
      <c r="K21" s="1741"/>
      <c r="L21" s="1741"/>
      <c r="M21" s="1741"/>
      <c r="N21" s="1741"/>
      <c r="O21" s="1741"/>
      <c r="P21" s="1741"/>
      <c r="Q21" s="1741"/>
      <c r="R21" s="1741"/>
      <c r="S21" s="1741"/>
      <c r="T21" s="1741"/>
      <c r="U21" s="1741"/>
      <c r="V21" s="1741"/>
      <c r="W21" s="1741"/>
      <c r="X21" s="1741"/>
      <c r="Y21" s="1742"/>
      <c r="Z21" s="1741"/>
      <c r="AA21" s="1743"/>
      <c r="AB21" s="1741"/>
    </row>
  </sheetData>
  <sheetProtection formatColumns="0" formatRows="0" sort="0" autoFilter="0" insertRows="0" insertColumns="1" deleteRows="0" deleteColumns="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D9A6E8-52E6-AF78-28E8-02B5EDD9DDE6}"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3152" width="9.140625" hidden="1" customWidth="1"/>
    <col min="2" max="2" style="3131" width="9.140625" hidden="1" customWidth="1"/>
    <col min="3" max="3" style="2624" width="9.140625" hidden="1" customWidth="1"/>
    <col min="4" max="4" style="3153" width="3.7109375" customWidth="1"/>
    <col min="5" max="5" style="3131" width="6.28125" customWidth="1"/>
    <col min="6" max="6" style="2624" width="1.7109375" hidden="1" customWidth="1"/>
    <col min="7" max="8" style="3131" width="30.7109375" customWidth="1"/>
    <col min="9" max="9" style="3131" width="9.00390625" customWidth="1"/>
    <col min="10" max="10" style="3131" width="12.140625" customWidth="1"/>
    <col min="11" max="11" style="3131" width="46.7109375" customWidth="1"/>
    <col min="12" max="12" style="3131" width="100.28125" customWidth="1"/>
    <col min="13" max="13" style="3155" width="7.57421875" customWidth="1"/>
    <col min="14" max="22" style="3131" width="10.57421875"/>
  </cols>
  <sheetData>
    <row s="3108" customFormat="1" customHeight="1" ht="5.25" hidden="1">
      <c r="C1" s="517"/>
      <c r="D1" s="500"/>
      <c r="F1" s="517"/>
      <c r="G1" s="495" t="s">
        <v>82</v>
      </c>
      <c r="H1" s="495" t="s">
        <v>83</v>
      </c>
      <c r="I1" s="495" t="s">
        <v>84</v>
      </c>
      <c r="P1" s="495" t="s">
        <v>82</v>
      </c>
      <c r="Q1" s="495" t="s">
        <v>83</v>
      </c>
      <c r="R1" s="495" t="s">
        <v>84</v>
      </c>
    </row>
    <row s="3108" customFormat="1" customHeight="1" ht="5.25" hidden="1">
      <c r="C2" s="517"/>
      <c r="D2" s="500"/>
      <c r="F2" s="517"/>
    </row>
    <row s="3103" customFormat="1" customHeight="1" ht="6">
      <c r="A3" s="485"/>
      <c r="D3" s="492"/>
      <c r="E3" s="487"/>
      <c r="F3" s="487"/>
      <c r="G3" s="487"/>
      <c r="H3" s="487"/>
      <c r="I3" s="488"/>
      <c r="J3" s="489"/>
      <c r="K3" s="489"/>
      <c r="L3" s="489"/>
    </row>
    <row customHeight="1" ht="22.5">
      <c r="D4" s="456"/>
      <c r="E4" s="2091" t="s">
        <v>381</v>
      </c>
      <c r="F4" s="2091"/>
      <c r="G4" s="2092"/>
      <c r="H4" s="2092"/>
      <c r="I4" s="2093"/>
      <c r="J4" s="497"/>
      <c r="K4" s="459"/>
      <c r="L4" s="459"/>
    </row>
    <row s="2624" customFormat="1" customHeight="1" ht="17.25">
      <c r="A5" s="765"/>
      <c r="D5" s="828"/>
      <c r="E5" s="2079" t="str">
        <f>IF(org=0,"Не определено",org)</f>
        <v>МУП г. Азова "Теплоэнерго"</v>
      </c>
      <c r="F5" s="2079"/>
      <c r="G5" s="2080"/>
      <c r="H5" s="2080"/>
      <c r="I5" s="2081"/>
      <c r="J5" s="497"/>
      <c r="K5" s="459"/>
      <c r="L5" s="459"/>
      <c r="M5" s="513"/>
    </row>
    <row s="3103" customFormat="1" customHeight="1" ht="11.25">
      <c r="A6" s="485"/>
      <c r="D6" s="492"/>
      <c r="E6" s="487"/>
      <c r="F6" s="487"/>
      <c r="G6" s="490"/>
      <c r="H6" s="490"/>
      <c r="I6" s="491"/>
      <c r="J6" s="491"/>
      <c r="K6" s="758"/>
      <c r="L6" s="491"/>
    </row>
    <row customHeight="1" ht="14.25">
      <c r="D7" s="456"/>
      <c r="E7" s="2061" t="s">
        <v>291</v>
      </c>
      <c r="F7" s="2061"/>
      <c r="G7" s="2062"/>
      <c r="H7" s="2062"/>
      <c r="I7" s="2062"/>
      <c r="J7" s="2062"/>
      <c r="K7" s="2062"/>
      <c r="L7" s="2067" t="s">
        <v>292</v>
      </c>
    </row>
    <row customHeight="1" ht="45">
      <c r="D8" s="456"/>
      <c r="E8" s="479" t="s">
        <v>87</v>
      </c>
      <c r="F8" s="829"/>
      <c r="G8" s="471" t="s">
        <v>85</v>
      </c>
      <c r="H8" s="471" t="s">
        <v>86</v>
      </c>
      <c r="I8" s="420" t="s">
        <v>84</v>
      </c>
      <c r="J8" s="420" t="s">
        <v>382</v>
      </c>
      <c r="K8" s="420" t="s">
        <v>383</v>
      </c>
      <c r="L8" s="2067"/>
    </row>
    <row customHeight="1" ht="12" hidden="1">
      <c r="D9" s="493"/>
      <c r="E9" s="499"/>
      <c r="F9" s="836"/>
      <c r="G9" s="499"/>
      <c r="H9" s="499"/>
      <c r="I9" s="499"/>
      <c r="J9" s="499"/>
      <c r="K9" s="499"/>
      <c r="L9" s="499"/>
      <c r="M9" s="453"/>
    </row>
    <row customHeight="1" ht="14.25" hidden="1">
      <c r="A10" s="511"/>
      <c r="B10" s="511"/>
      <c r="D10" s="512"/>
      <c r="E10" s="518">
        <v>0</v>
      </c>
      <c r="F10" s="827"/>
      <c r="G10" s="514"/>
      <c r="H10" s="514"/>
      <c r="I10" s="514"/>
      <c r="J10" s="514"/>
      <c r="K10" s="514"/>
      <c r="L10" s="2077" t="s">
        <v>384</v>
      </c>
      <c r="M10" s="513"/>
      <c r="N10" s="511"/>
      <c r="O10" s="511"/>
      <c r="P10" s="511"/>
      <c r="Q10" s="511"/>
      <c r="R10" s="511"/>
      <c r="S10" s="511"/>
      <c r="T10" s="511"/>
      <c r="U10" s="511"/>
      <c r="V10" s="511"/>
    </row>
    <row customHeight="1" ht="15" hidden="1">
      <c r="A11" s="1953"/>
      <c r="B11" s="510"/>
      <c r="C11" s="510"/>
      <c r="D11" s="871"/>
      <c r="E11" s="519"/>
      <c r="F11" s="519"/>
      <c r="G11" s="519"/>
      <c r="H11" s="519"/>
      <c r="I11" s="520"/>
      <c r="J11" s="521"/>
      <c r="K11" s="719"/>
      <c r="L11" s="2094"/>
      <c r="M11" s="517"/>
      <c r="N11" s="517"/>
      <c r="O11" s="517"/>
      <c r="P11" s="522"/>
      <c r="Q11" s="522"/>
      <c r="R11" s="523"/>
      <c r="S11" s="517"/>
      <c r="T11" s="517"/>
      <c r="U11" s="517"/>
      <c r="V11" s="517"/>
    </row>
    <row s="3103" customFormat="1" customHeight="1" ht="14.25">
      <c r="A12" s="1953"/>
      <c r="B12" s="510"/>
      <c r="C12" s="510"/>
      <c r="D12" s="872"/>
      <c r="E12" s="829">
        <v>1</v>
      </c>
      <c r="F12" s="870">
        <v>23</v>
      </c>
      <c r="G12" s="869"/>
      <c r="H12" s="799"/>
      <c r="I12" s="797"/>
      <c r="J12" s="526" t="s">
        <v>61</v>
      </c>
      <c r="K12" s="1172" t="s">
        <v>24</v>
      </c>
      <c r="L12" s="2094"/>
      <c r="M12" s="517"/>
      <c r="N12" s="517"/>
      <c r="O12" s="517"/>
      <c r="P12" s="522" t="s">
        <v>385</v>
      </c>
      <c r="Q12" s="522" t="s">
        <v>386</v>
      </c>
      <c r="R12" s="523" t="s">
        <v>387</v>
      </c>
      <c r="S12" s="517" t="s">
        <v>388</v>
      </c>
      <c r="T12" s="517"/>
      <c r="U12" s="517"/>
      <c r="V12" s="517"/>
    </row>
    <row customHeight="1" ht="15">
      <c r="A13" s="1953"/>
      <c r="B13" s="511"/>
      <c r="D13" s="512"/>
      <c r="E13" s="411"/>
      <c r="F13" s="535"/>
      <c r="G13" s="422" t="s">
        <v>101</v>
      </c>
      <c r="H13" s="410"/>
      <c r="I13" s="410"/>
      <c r="J13" s="410"/>
      <c r="K13" s="409"/>
      <c r="L13" s="2078"/>
      <c r="M13" s="515"/>
      <c r="N13" s="511"/>
      <c r="O13" s="511"/>
      <c r="P13" s="511"/>
      <c r="Q13" s="511"/>
      <c r="R13" s="511"/>
      <c r="S13" s="511"/>
      <c r="T13" s="511"/>
      <c r="U13" s="511"/>
      <c r="V13" s="511"/>
    </row>
    <row customHeight="1" ht="11.25">
      <c r="A14" s="485"/>
      <c r="B14" s="486"/>
      <c r="C14" s="486"/>
      <c r="D14" s="501"/>
      <c r="E14" s="486"/>
      <c r="F14" s="486"/>
      <c r="G14" s="486"/>
      <c r="H14" s="486"/>
      <c r="I14" s="486"/>
      <c r="J14" s="486"/>
      <c r="K14" s="486"/>
      <c r="L14" s="486"/>
      <c r="M14" s="486"/>
      <c r="N14" s="486"/>
      <c r="O14" s="486"/>
      <c r="P14" s="486"/>
      <c r="Q14" s="486"/>
      <c r="R14" s="486"/>
      <c r="S14" s="486"/>
      <c r="T14" s="486"/>
      <c r="U14" s="486"/>
      <c r="V14" s="486"/>
    </row>
    <row customHeight="1" ht="14.25">
      <c r="D15" s="472"/>
      <c r="E15" s="332"/>
      <c r="F15" s="332"/>
      <c r="G15" s="67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72"/>
      <c r="I15" s="472"/>
      <c r="J15" s="472"/>
      <c r="K15" s="472"/>
      <c r="L15" s="472"/>
    </row>
    <row r="18" customHeight="1" ht="14.25">
      <c r="G18" s="511"/>
    </row>
  </sheetData>
  <sheetProtection formatColumns="0" formatRows="0" autoFilter="0" sort="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B33DE8-25E5-A948-C7FC-BEAADA79FB28}"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3293" width="10.57421875" hidden="1"/>
    <col min="2" max="2" style="3293" width="11.00390625" hidden="1" customWidth="1"/>
    <col min="3" max="3" style="3293" width="10.57421875" hidden="1"/>
    <col min="4" max="4" style="3293" width="11.8515625" hidden="1" customWidth="1"/>
    <col min="5" max="5" style="3293" width="10.00390625" hidden="1" customWidth="1"/>
    <col min="6" max="6" style="3293" width="8.7109375" hidden="1" customWidth="1"/>
    <col min="7" max="7" style="3293" width="7.57421875" hidden="1" customWidth="1"/>
    <col min="8" max="8" style="3293" width="11.421875" hidden="1" customWidth="1"/>
    <col min="9" max="9" style="3293" width="12.00390625" hidden="1" customWidth="1"/>
    <col min="10" max="10" style="3293" width="9.8515625" hidden="1" customWidth="1"/>
    <col min="11" max="11" style="3293" width="11.421875" hidden="1" customWidth="1"/>
    <col min="12" max="12" style="3294" width="19.140625" hidden="1" customWidth="1"/>
    <col min="13" max="14" style="3295" width="12.28125" hidden="1" customWidth="1"/>
    <col min="15" max="15" style="3295" width="23.421875" hidden="1" customWidth="1"/>
    <col min="16" max="16" style="3371" width="3.7109375" customWidth="1"/>
    <col min="17" max="18" style="3372" width="3.7109375" customWidth="1"/>
    <col min="19" max="19" style="3373" width="12.7109375" customWidth="1"/>
    <col min="20" max="20" style="2941" width="35.7109375" customWidth="1"/>
    <col min="21" max="21" style="2941" width="0.140625" customWidth="1"/>
    <col min="22" max="22" style="2941" width="24.7109375" hidden="1" customWidth="1"/>
    <col min="23" max="23" style="2941" width="0.140625" hidden="1" customWidth="1"/>
    <col min="24" max="25" style="2941" width="24.7109375" hidden="1" customWidth="1"/>
    <col min="26" max="26" style="2941" width="11.7109375" hidden="1" customWidth="1"/>
    <col min="27" max="27" style="2941" width="3.7109375" hidden="1" customWidth="1"/>
    <col min="28" max="28" style="2941" width="11.7109375" hidden="1" customWidth="1"/>
    <col min="29" max="29" style="2941" width="8.57421875" hidden="1" customWidth="1"/>
    <col min="30" max="30" style="2941" width="24.7109375" customWidth="1"/>
    <col min="31" max="31" style="2941" width="0.140625" customWidth="1"/>
    <col min="32" max="33" style="2941" width="24.7109375" customWidth="1"/>
    <col min="34" max="34" style="2941" width="11.7109375" customWidth="1"/>
    <col min="35" max="35" style="2941" width="3.7109375" customWidth="1"/>
    <col min="36" max="36" style="2941" width="11.7109375" customWidth="1"/>
    <col min="37" max="37" style="2941" width="8.57421875" hidden="1" customWidth="1"/>
    <col min="38" max="38" style="2941" width="4.7109375" customWidth="1"/>
    <col min="39" max="39" style="2941" width="115.7109375" customWidth="1"/>
    <col min="40" max="41" style="2612" width="10.57421875"/>
    <col min="42" max="42" style="2612" width="11.140625" customWidth="1"/>
    <col min="43" max="44" style="2612"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39">
        <f>INDEX(PT_DIFFERENTIATION_NUM_NTAR,MATCH(A2,PT_DIFFERENTIATION_NTAR_ID,0))</f>
      </c>
      <c r="T2" s="286" t="s">
        <v>122</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389</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34"/>
      <c r="Q3" s="348"/>
      <c r="R3" s="349"/>
      <c r="S3" s="1339">
        <f>INDEX(PT_DIFFERENTIATION_NUM_TER,MATCH(B3,PT_DIFFERENTIATION_TER_ID,0))</f>
      </c>
      <c r="T3" s="298" t="s">
        <v>390</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391</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39">
        <f>INDEX(PT_DIFFERENTIATION_NUM_CS,MATCH(C4,PT_DIFFERENTIATION_CS_ID,0))</f>
      </c>
      <c r="T4" s="299" t="s">
        <v>392</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393</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39">
        <f>INDEX(PT_DIFFERENTIATION_NUM_IST_TE,MATCH(D5,PT_DIFFERENTIATION_IST_TE_ID,0))</f>
      </c>
      <c r="T5" s="300" t="s">
        <v>394</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395</v>
      </c>
      <c r="AO5" s="506"/>
      <c r="AP5" s="506" t="str">
        <f>IF(T5="","",T5)</f>
        <v>Источник тепловой энергии  </v>
      </c>
      <c r="AQ5" s="506"/>
      <c r="AR5" s="506"/>
    </row>
    <row customHeight="1" ht="47.25" hidden="1">
      <c r="A6" s="1393"/>
      <c r="B6" s="1393"/>
      <c r="C6" s="1393"/>
      <c r="D6" s="1393"/>
      <c r="E6" s="2108"/>
      <c r="F6" s="2108"/>
      <c r="G6" s="2108"/>
      <c r="H6" s="2108"/>
      <c r="I6" s="2109">
        <f>S5&amp;".1"</f>
      </c>
      <c r="J6" s="1393"/>
      <c r="K6" s="1393"/>
      <c r="L6" s="1394" t="s">
        <v>396</v>
      </c>
      <c r="M6" s="543"/>
      <c r="P6" s="2111">
        <v>1</v>
      </c>
      <c r="Q6" s="1335"/>
      <c r="R6" s="352"/>
      <c r="S6" s="1339">
        <f>$I6</f>
      </c>
      <c r="T6" s="273" t="s">
        <v>397</v>
      </c>
      <c r="U6" s="288"/>
      <c r="V6" s="2095"/>
      <c r="W6" s="2096"/>
      <c r="X6" s="2096"/>
      <c r="Y6" s="2096"/>
      <c r="Z6" s="2096"/>
      <c r="AA6" s="2096"/>
      <c r="AB6" s="2096"/>
      <c r="AC6" s="2097"/>
      <c r="AD6" s="2095"/>
      <c r="AE6" s="2096"/>
      <c r="AF6" s="2096"/>
      <c r="AG6" s="2096"/>
      <c r="AH6" s="2096"/>
      <c r="AI6" s="2096"/>
      <c r="AJ6" s="2096"/>
      <c r="AK6" s="2096"/>
      <c r="AL6" s="2097"/>
      <c r="AM6" s="1286" t="s">
        <v>398</v>
      </c>
      <c r="AO6" s="506"/>
      <c r="AP6" s="506" t="str">
        <f>IF(T6="","",T6)</f>
        <v>Схема подключения теплопотребляющей установки к коллектору источника тепловой энергии</v>
      </c>
      <c r="AQ6" s="506"/>
      <c r="AR6" s="506"/>
    </row>
    <row customHeight="1" ht="21" hidden="1">
      <c r="A7" s="1393"/>
      <c r="B7" s="1393"/>
      <c r="C7" s="1393"/>
      <c r="D7" s="1393"/>
      <c r="E7" s="2108"/>
      <c r="F7" s="2108"/>
      <c r="G7" s="2108"/>
      <c r="H7" s="2108"/>
      <c r="I7" s="2110"/>
      <c r="J7" s="2109">
        <f>I6&amp;".1"</f>
      </c>
      <c r="K7" s="1393"/>
      <c r="L7" s="1394" t="s">
        <v>399</v>
      </c>
      <c r="M7" s="543"/>
      <c r="N7" s="1396"/>
      <c r="P7" s="2111"/>
      <c r="Q7" s="2111">
        <v>1</v>
      </c>
      <c r="R7" s="353"/>
      <c r="S7" s="1339">
        <f>$J7</f>
      </c>
      <c r="T7" s="274" t="s">
        <v>400</v>
      </c>
      <c r="U7" s="288"/>
      <c r="V7" s="2095"/>
      <c r="W7" s="2096"/>
      <c r="X7" s="2096"/>
      <c r="Y7" s="2096"/>
      <c r="Z7" s="2096"/>
      <c r="AA7" s="2096"/>
      <c r="AB7" s="2096"/>
      <c r="AC7" s="2097"/>
      <c r="AD7" s="2095"/>
      <c r="AE7" s="2096"/>
      <c r="AF7" s="2096"/>
      <c r="AG7" s="2096"/>
      <c r="AH7" s="2096"/>
      <c r="AI7" s="2096"/>
      <c r="AJ7" s="2096"/>
      <c r="AK7" s="2096"/>
      <c r="AL7" s="2097"/>
      <c r="AM7" s="1286" t="s">
        <v>401</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402</v>
      </c>
      <c r="M8" s="543"/>
      <c r="N8" s="1396"/>
      <c r="O8" s="1396"/>
      <c r="P8" s="2111"/>
      <c r="Q8" s="2111"/>
      <c r="R8" s="353">
        <v>1</v>
      </c>
      <c r="S8" s="1339">
        <f>$K8</f>
      </c>
      <c r="T8" s="1377"/>
      <c r="U8" s="288"/>
      <c r="V8" s="757"/>
      <c r="W8" s="320"/>
      <c r="X8" s="757"/>
      <c r="Y8" s="1285"/>
      <c r="Z8" s="2112"/>
      <c r="AA8" s="1981" t="s">
        <v>61</v>
      </c>
      <c r="AB8" s="2112"/>
      <c r="AC8" s="1981" t="s">
        <v>61</v>
      </c>
      <c r="AD8" s="757"/>
      <c r="AE8" s="320"/>
      <c r="AF8" s="757"/>
      <c r="AG8" s="1285"/>
      <c r="AH8" s="2112"/>
      <c r="AI8" s="1981" t="s">
        <v>61</v>
      </c>
      <c r="AJ8" s="2112"/>
      <c r="AK8" s="1981" t="s">
        <v>61</v>
      </c>
      <c r="AL8" s="320"/>
      <c r="AM8" s="2137" t="s">
        <v>403</v>
      </c>
      <c r="AN8" s="517">
        <f>STRCHECKDATE(V9:AL9)</f>
      </c>
      <c r="AO8" s="506"/>
      <c r="AP8" s="506" t="str">
        <f>IF(T8="","",T8)</f>
        <v/>
      </c>
      <c r="AQ8" s="506"/>
      <c r="AR8" s="506"/>
    </row>
    <row customHeight="1" ht="0.75" hidden="1">
      <c r="A9" s="1393"/>
      <c r="B9" s="1393"/>
      <c r="C9" s="1393"/>
      <c r="D9" s="1393"/>
      <c r="E9" s="2108"/>
      <c r="F9" s="2108"/>
      <c r="G9" s="2108"/>
      <c r="H9" s="2108"/>
      <c r="I9" s="2110"/>
      <c r="J9" s="2110"/>
      <c r="K9" s="2109"/>
      <c r="L9" s="1394"/>
      <c r="M9" s="543"/>
      <c r="N9" s="1396"/>
      <c r="O9" s="1396"/>
      <c r="P9" s="2111"/>
      <c r="Q9" s="2111"/>
      <c r="R9" s="353"/>
      <c r="S9" s="1336"/>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6" t="s">
        <v>404</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5" hidden="1">
      <c r="A11" s="1393"/>
      <c r="B11" s="1393"/>
      <c r="C11" s="1393"/>
      <c r="D11" s="1393"/>
      <c r="E11" s="2108"/>
      <c r="F11" s="2108"/>
      <c r="G11" s="2108"/>
      <c r="H11" s="2108"/>
      <c r="I11" s="2109"/>
      <c r="J11" s="1393"/>
      <c r="K11" s="1393"/>
      <c r="L11" s="1394"/>
      <c r="M11" s="543"/>
      <c r="P11" s="2111"/>
      <c r="Q11" s="1335"/>
      <c r="R11" s="352"/>
      <c r="S11" s="1308"/>
      <c r="T11" s="275" t="s">
        <v>405</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308"/>
      <c r="T12" s="364" t="s">
        <v>406</v>
      </c>
      <c r="U12" s="367"/>
      <c r="V12" s="367"/>
      <c r="W12" s="367"/>
      <c r="X12" s="367"/>
      <c r="Y12" s="367"/>
      <c r="Z12" s="367"/>
      <c r="AA12" s="367"/>
      <c r="AB12" s="367"/>
      <c r="AC12" s="366"/>
      <c r="AD12" s="367"/>
      <c r="AE12" s="367"/>
      <c r="AF12" s="367"/>
      <c r="AG12" s="367"/>
      <c r="AH12" s="367"/>
      <c r="AI12" s="367"/>
      <c r="AJ12" s="367"/>
      <c r="AK12" s="366"/>
      <c r="AL12" s="367"/>
      <c r="AM12" s="291"/>
      <c r="AO12" s="506"/>
      <c r="AP12" s="506" t="str">
        <f>IF(T12="","",T12)</f>
        <v>Добавить схему подключения</v>
      </c>
      <c r="AQ12" s="506"/>
      <c r="AR12" s="506"/>
    </row>
    <row s="3274"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167</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274"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168</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274"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169</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P17" s="1341"/>
      <c r="AD17" s="1390"/>
      <c r="AE17" s="1390"/>
      <c r="AF17" s="1390"/>
      <c r="AG17" s="1391"/>
      <c r="AH17" s="2105"/>
      <c r="AI17" s="2104" t="s">
        <v>61</v>
      </c>
      <c r="AJ17" s="2105"/>
      <c r="AK17" s="2104" t="s">
        <v>61</v>
      </c>
    </row>
    <row customHeight="1" ht="14.25" hidden="1">
      <c r="P18" s="1341"/>
      <c r="AD18" s="1390"/>
      <c r="AE18" s="1390"/>
      <c r="AF18" s="1390"/>
      <c r="AG18" s="324" t="str">
        <f>AH17&amp;"-"&amp;AJ17</f>
        <v>-</v>
      </c>
      <c r="AH18" s="2104"/>
      <c r="AI18" s="2104"/>
      <c r="AJ18" s="2104"/>
      <c r="AK18" s="2104"/>
    </row>
    <row customHeight="1" ht="14.25" hidden="1">
      <c r="P19" s="1341"/>
      <c r="AK19" s="323"/>
    </row>
    <row s="3293" customFormat="1" customHeight="1" ht="22.5" hidden="1">
      <c r="L20" s="1359"/>
      <c r="M20" s="1392"/>
      <c r="N20" s="1392"/>
      <c r="O20" s="1397" t="s">
        <v>407</v>
      </c>
      <c r="P20" s="1392"/>
      <c r="Q20" s="1401"/>
      <c r="R20" s="1401"/>
      <c r="S20" s="735"/>
      <c r="Z20" s="1397"/>
      <c r="AB20" s="1397"/>
      <c r="AC20" s="1396"/>
      <c r="AH20" s="1397"/>
      <c r="AJ20" s="1397"/>
      <c r="AK20" s="1396"/>
      <c r="AN20" s="517"/>
      <c r="AO20" s="517"/>
      <c r="AP20" s="517"/>
      <c r="AQ20" s="517"/>
      <c r="AR20" s="517"/>
    </row>
    <row s="3293" customFormat="1" customHeight="1" ht="14.25" hidden="1">
      <c r="L21" s="1359"/>
      <c r="M21" s="1392"/>
      <c r="N21" s="1392"/>
      <c r="O21" s="1392"/>
      <c r="P21" s="1392"/>
      <c r="Q21" s="1401"/>
      <c r="R21" s="1401"/>
      <c r="S21" s="735"/>
      <c r="AC21" s="1396"/>
      <c r="AK21" s="1396"/>
      <c r="AN21" s="517"/>
      <c r="AO21" s="517"/>
      <c r="AP21" s="517"/>
      <c r="AQ21" s="517"/>
      <c r="AR21" s="517"/>
    </row>
    <row s="3293" customFormat="1" customHeight="1" ht="14.25" hidden="1">
      <c r="L22" s="1359"/>
      <c r="M22" s="1392"/>
      <c r="N22" s="1392"/>
      <c r="O22" s="1394" t="s">
        <v>408</v>
      </c>
      <c r="P22" s="1392"/>
      <c r="Q22" s="1401"/>
      <c r="R22" s="1401"/>
      <c r="S22" s="735"/>
      <c r="T22" s="1168" t="s">
        <v>409</v>
      </c>
      <c r="AA22" s="172" t="s">
        <v>410</v>
      </c>
      <c r="AC22" s="172" t="s">
        <v>411</v>
      </c>
      <c r="AD22" s="1168" t="s">
        <v>409</v>
      </c>
      <c r="AI22" s="172" t="s">
        <v>412</v>
      </c>
      <c r="AK22" s="172" t="s">
        <v>411</v>
      </c>
      <c r="AN22" s="517"/>
      <c r="AO22" s="517"/>
      <c r="AP22" s="517"/>
      <c r="AQ22" s="517"/>
      <c r="AR22" s="517"/>
    </row>
    <row customHeight="1" ht="14.25" hidden="1">
      <c r="O23" s="1394"/>
      <c r="P23" s="1341"/>
    </row>
    <row customHeight="1" ht="14.25" hidden="1">
      <c r="O24" s="1394"/>
      <c r="P24" s="1341"/>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14.25">
      <c r="Q26" s="377"/>
      <c r="R26" s="377"/>
      <c r="S26" s="214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МУП г. Азова "Теплоэнерго"</v>
      </c>
      <c r="T27" s="2141"/>
      <c r="U27" s="2141"/>
      <c r="V27" s="2141"/>
      <c r="W27" s="2141"/>
      <c r="X27" s="2141"/>
      <c r="Y27" s="2141"/>
      <c r="Z27" s="2141"/>
      <c r="AA27" s="2141"/>
      <c r="AB27" s="2141"/>
      <c r="AC27" s="2141"/>
      <c r="AD27" s="2141"/>
      <c r="AE27" s="2141"/>
      <c r="AF27" s="2141"/>
      <c r="AG27" s="2141"/>
      <c r="AH27" s="2141"/>
      <c r="AI27" s="2141"/>
      <c r="AJ27" s="2141"/>
      <c r="AK27" s="126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06"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Региональная служба по тарифам Ростовской области</v>
      </c>
      <c r="W29" s="2100"/>
      <c r="X29" s="2100"/>
      <c r="Y29" s="2100"/>
      <c r="Z29" s="2100"/>
      <c r="AA29" s="2100"/>
      <c r="AB29" s="2100"/>
      <c r="AC29" s="322"/>
      <c r="AD29" s="2100" t="str">
        <f>IF(TITLE_NAME_OR_PR_CHANGE="",IF(TITLE_NAME_OR_PR="","",TITLE_NAME_OR_PR),TITLE_NAME_OR_PR_CHANGE)</f>
        <v>Региональная служба по тарифам Ростовской области</v>
      </c>
      <c r="AE29" s="2100"/>
      <c r="AF29" s="2100"/>
      <c r="AG29" s="2100"/>
      <c r="AH29" s="2100"/>
      <c r="AI29" s="2100"/>
      <c r="AJ29" s="2100"/>
      <c r="AK29" s="322"/>
      <c r="AL29" s="322"/>
      <c r="AM29" s="268"/>
      <c r="AN29" s="368"/>
      <c r="AO29" s="368"/>
      <c r="AP29" s="368"/>
      <c r="AQ29" s="368"/>
      <c r="AR29" s="368"/>
    </row>
    <row s="3306" customFormat="1" customHeight="1" ht="18.75">
      <c r="A30" s="1398"/>
      <c r="B30" s="1398"/>
      <c r="C30" s="1398"/>
      <c r="D30" s="1398"/>
      <c r="E30" s="1398"/>
      <c r="F30" s="1398"/>
      <c r="G30" s="1398"/>
      <c r="H30" s="1398"/>
      <c r="I30" s="1398"/>
      <c r="J30" s="1398"/>
      <c r="K30" s="1398"/>
      <c r="L30" s="1399"/>
      <c r="M30" s="1398"/>
      <c r="N30" s="1398"/>
      <c r="O30" s="1398"/>
      <c r="S30" s="2098" t="s">
        <v>413</v>
      </c>
      <c r="T30" s="2098"/>
      <c r="U30" s="1402"/>
      <c r="V30" s="2099" t="str">
        <f>IF(TITLE_DATE_PR_CHANGE="",IF(TITLE_DATE_PR="","",TITLE_DATE_PR),TITLE_DATE_PR_CHANGE)</f>
        <v>45245.61800925926</v>
      </c>
      <c r="W30" s="2099"/>
      <c r="X30" s="2099"/>
      <c r="Y30" s="2099"/>
      <c r="Z30" s="2099"/>
      <c r="AA30" s="2099"/>
      <c r="AB30" s="2099"/>
      <c r="AC30" s="322"/>
      <c r="AD30" s="2099" t="str">
        <f>IF(TITLE_DATE_PR_CHANGE="",IF(TITLE_DATE_PR="","",TITLE_DATE_PR),TITLE_DATE_PR_CHANGE)</f>
        <v>45245.61800925926</v>
      </c>
      <c r="AE30" s="2099"/>
      <c r="AF30" s="2099"/>
      <c r="AG30" s="2099"/>
      <c r="AH30" s="2099"/>
      <c r="AI30" s="2099"/>
      <c r="AJ30" s="2099"/>
      <c r="AK30" s="322"/>
      <c r="AL30" s="322"/>
      <c r="AM30" s="268"/>
      <c r="AN30" s="368"/>
      <c r="AO30" s="368"/>
      <c r="AP30" s="368"/>
      <c r="AQ30" s="368"/>
      <c r="AR30" s="368"/>
    </row>
    <row s="3306" customFormat="1" customHeight="1" ht="18.75">
      <c r="A31" s="1398"/>
      <c r="B31" s="1398"/>
      <c r="C31" s="1398"/>
      <c r="D31" s="1398"/>
      <c r="E31" s="1398"/>
      <c r="F31" s="1398"/>
      <c r="G31" s="1398"/>
      <c r="H31" s="1398"/>
      <c r="I31" s="1398"/>
      <c r="J31" s="1398"/>
      <c r="K31" s="1398"/>
      <c r="L31" s="1399"/>
      <c r="M31" s="1398"/>
      <c r="N31" s="1398"/>
      <c r="O31" s="1398"/>
      <c r="S31" s="2098" t="s">
        <v>414</v>
      </c>
      <c r="T31" s="2098"/>
      <c r="U31" s="1402"/>
      <c r="V31" s="2100" t="str">
        <f>IF(TITLE_NUMBER_PR_CHANGE="",IF(TITLE_NUMBER_PR="","",TITLE_NUMBER_PR),TITLE_NUMBER_PR_CHANGE)</f>
        <v>550</v>
      </c>
      <c r="W31" s="2100"/>
      <c r="X31" s="2100"/>
      <c r="Y31" s="2100"/>
      <c r="Z31" s="2100"/>
      <c r="AA31" s="2100"/>
      <c r="AB31" s="2100"/>
      <c r="AC31" s="322"/>
      <c r="AD31" s="2100" t="str">
        <f>IF(TITLE_NUMBER_PR_CHANGE="",IF(TITLE_NUMBER_PR="","",TITLE_NUMBER_PR),TITLE_NUMBER_PR_CHANGE)</f>
        <v>550</v>
      </c>
      <c r="AE31" s="2100"/>
      <c r="AF31" s="2100"/>
      <c r="AG31" s="2100"/>
      <c r="AH31" s="2100"/>
      <c r="AI31" s="2100"/>
      <c r="AJ31" s="2100"/>
      <c r="AK31" s="322"/>
      <c r="AL31" s="322"/>
      <c r="AM31" s="268"/>
      <c r="AN31" s="368"/>
      <c r="AO31" s="368"/>
      <c r="AP31" s="368"/>
      <c r="AQ31" s="368"/>
      <c r="AR31" s="368"/>
    </row>
    <row s="3306"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https://rst.donland.ru</v>
      </c>
      <c r="W32" s="2100"/>
      <c r="X32" s="2100"/>
      <c r="Y32" s="2100"/>
      <c r="Z32" s="2100"/>
      <c r="AA32" s="2100"/>
      <c r="AB32" s="2100"/>
      <c r="AC32" s="322"/>
      <c r="AD32" s="2100" t="str">
        <f>IF(TITLE_IST_PUB_CHANGE="",IF(TITLE_IST_PUB="","",TITLE_IST_PUB),TITLE_IST_PUB_CHANGE)</f>
        <v>https://rst.donland.ru</v>
      </c>
      <c r="AE32" s="2100"/>
      <c r="AF32" s="2100"/>
      <c r="AG32" s="2100"/>
      <c r="AH32" s="2100"/>
      <c r="AI32" s="2100"/>
      <c r="AJ32" s="2100"/>
      <c r="AK32" s="322"/>
      <c r="AL32" s="322"/>
      <c r="AM32" s="268"/>
      <c r="AN32" s="368"/>
      <c r="AO32" s="368"/>
      <c r="AP32" s="368"/>
      <c r="AQ32" s="368"/>
      <c r="AR32" s="368"/>
    </row>
    <row customHeight="1" ht="14.25" hidden="1">
      <c r="P33" s="1358"/>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06" customFormat="1" customHeight="1" ht="18.75" hidden="1">
      <c r="A34" s="1398"/>
      <c r="B34" s="1398"/>
      <c r="C34" s="1398"/>
      <c r="D34" s="1398"/>
      <c r="E34" s="1398"/>
      <c r="F34" s="1398"/>
      <c r="G34" s="1398"/>
      <c r="H34" s="1398"/>
      <c r="I34" s="1398"/>
      <c r="J34" s="1398"/>
      <c r="K34" s="1398"/>
      <c r="L34" s="1399"/>
      <c r="M34" s="1398"/>
      <c r="N34" s="1398"/>
      <c r="O34" s="1398"/>
      <c r="S34" s="2098" t="s">
        <v>415</v>
      </c>
      <c r="T34" s="2098"/>
      <c r="U34" s="1402"/>
      <c r="V34" s="2099" t="str">
        <f>IF(TITLE_DATE_PR_CHANGE="",IF(TITLE_DATE_PR="","",TITLE_DATE_PR),TITLE_DATE_PR_CHANGE)</f>
        <v>45245.61800925926</v>
      </c>
      <c r="W34" s="2099"/>
      <c r="X34" s="2099"/>
      <c r="Y34" s="2099"/>
      <c r="Z34" s="2099"/>
      <c r="AA34" s="2099"/>
      <c r="AB34" s="2099"/>
      <c r="AC34" s="322"/>
      <c r="AD34" s="2099" t="str">
        <f>IF(TITLE_DATE_PR_CHANGE="",IF(TITLE_DATE_PR="","",TITLE_DATE_PR),TITLE_DATE_PR_CHANGE)</f>
        <v>45245.61800925926</v>
      </c>
      <c r="AE34" s="2099"/>
      <c r="AF34" s="2099"/>
      <c r="AG34" s="2099"/>
      <c r="AH34" s="2099"/>
      <c r="AI34" s="2099"/>
      <c r="AJ34" s="2099"/>
      <c r="AK34" s="322"/>
      <c r="AL34" s="322"/>
      <c r="AM34" s="268"/>
      <c r="AN34" s="368"/>
      <c r="AO34" s="368"/>
      <c r="AP34" s="368"/>
      <c r="AQ34" s="368"/>
      <c r="AR34" s="368"/>
    </row>
    <row s="3306" customFormat="1" customHeight="1" ht="18.75" hidden="1">
      <c r="A35" s="1398"/>
      <c r="B35" s="1398"/>
      <c r="C35" s="1398"/>
      <c r="D35" s="1398"/>
      <c r="E35" s="1398"/>
      <c r="F35" s="1398"/>
      <c r="G35" s="1398"/>
      <c r="H35" s="1398"/>
      <c r="I35" s="1398"/>
      <c r="J35" s="1398"/>
      <c r="K35" s="1398"/>
      <c r="L35" s="1399"/>
      <c r="M35" s="1398"/>
      <c r="N35" s="1398"/>
      <c r="O35" s="1398"/>
      <c r="S35" s="2098" t="s">
        <v>416</v>
      </c>
      <c r="T35" s="2098"/>
      <c r="U35" s="1402"/>
      <c r="V35" s="2100" t="str">
        <f>IF(TITLE_NUMBER_PR_CHANGE="",IF(TITLE_NUMBER_PR="","",TITLE_NUMBER_PR),TITLE_NUMBER_PR_CHANGE)</f>
        <v>550</v>
      </c>
      <c r="W35" s="2100"/>
      <c r="X35" s="2100"/>
      <c r="Y35" s="2100"/>
      <c r="Z35" s="2100"/>
      <c r="AA35" s="2100"/>
      <c r="AB35" s="2100"/>
      <c r="AC35" s="322"/>
      <c r="AD35" s="2100" t="str">
        <f>IF(TITLE_NUMBER_PR_CHANGE="",IF(TITLE_NUMBER_PR="","",TITLE_NUMBER_PR),TITLE_NUMBER_PR_CHANGE)</f>
        <v>550</v>
      </c>
      <c r="AE35" s="2100"/>
      <c r="AF35" s="2100"/>
      <c r="AG35" s="2100"/>
      <c r="AH35" s="2100"/>
      <c r="AI35" s="2100"/>
      <c r="AJ35" s="2100"/>
      <c r="AK35" s="322"/>
      <c r="AL35" s="322"/>
      <c r="AM35" s="268"/>
      <c r="AN35" s="368"/>
      <c r="AO35" s="368"/>
      <c r="AP35" s="368"/>
      <c r="AQ35" s="368"/>
      <c r="AR35" s="368"/>
    </row>
    <row s="3306" customFormat="1" customHeight="1" ht="0">
      <c r="A36" s="1398"/>
      <c r="B36" s="1398"/>
      <c r="C36" s="1398"/>
      <c r="D36" s="1398"/>
      <c r="E36" s="1398"/>
      <c r="F36" s="1398"/>
      <c r="G36" s="1398"/>
      <c r="H36" s="1398"/>
      <c r="I36" s="1398"/>
      <c r="J36" s="1398"/>
      <c r="K36" s="1398"/>
      <c r="L36" s="1399"/>
      <c r="M36" s="1398"/>
      <c r="N36" s="1398"/>
      <c r="O36" s="1398"/>
      <c r="S36" s="318"/>
      <c r="T36" s="318"/>
      <c r="U36" s="1233"/>
      <c r="V36" s="322"/>
      <c r="W36" s="322"/>
      <c r="X36" s="322"/>
      <c r="Y36" s="322"/>
      <c r="Z36" s="322"/>
      <c r="AA36" s="322"/>
      <c r="AB36" s="322"/>
      <c r="AC36" s="266" t="s">
        <v>417</v>
      </c>
      <c r="AD36" s="322"/>
      <c r="AE36" s="322"/>
      <c r="AF36" s="322"/>
      <c r="AG36" s="322"/>
      <c r="AH36" s="322"/>
      <c r="AI36" s="322"/>
      <c r="AJ36" s="322"/>
      <c r="AK36" s="266" t="s">
        <v>417</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291</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292</v>
      </c>
    </row>
    <row customHeight="1" ht="14.25">
      <c r="Q39" s="377"/>
      <c r="R39" s="377"/>
      <c r="S39" s="2125" t="s">
        <v>87</v>
      </c>
      <c r="T39" s="2062" t="s">
        <v>418</v>
      </c>
      <c r="U39" s="289"/>
      <c r="V39" s="2126" t="s">
        <v>419</v>
      </c>
      <c r="W39" s="2127"/>
      <c r="X39" s="2127"/>
      <c r="Y39" s="2127"/>
      <c r="Z39" s="2127"/>
      <c r="AA39" s="2127"/>
      <c r="AB39" s="2128"/>
      <c r="AC39" s="2129" t="s">
        <v>420</v>
      </c>
      <c r="AD39" s="2126" t="s">
        <v>419</v>
      </c>
      <c r="AE39" s="2127"/>
      <c r="AF39" s="2127"/>
      <c r="AG39" s="2127"/>
      <c r="AH39" s="2127"/>
      <c r="AI39" s="2127"/>
      <c r="AJ39" s="2128"/>
      <c r="AK39" s="2129" t="s">
        <v>421</v>
      </c>
      <c r="AL39" s="2132" t="s">
        <v>422</v>
      </c>
      <c r="AM39" s="1971"/>
    </row>
    <row customHeight="1" ht="33.75">
      <c r="Q40" s="377"/>
      <c r="R40" s="377"/>
      <c r="S40" s="2125"/>
      <c r="T40" s="2062"/>
      <c r="U40" s="1038"/>
      <c r="V40" s="2135" t="s">
        <v>423</v>
      </c>
      <c r="W40" s="2116" t="s">
        <v>424</v>
      </c>
      <c r="X40" s="2118" t="s">
        <v>425</v>
      </c>
      <c r="Y40" s="2120"/>
      <c r="Z40" s="2118" t="s">
        <v>426</v>
      </c>
      <c r="AA40" s="2119"/>
      <c r="AB40" s="2120"/>
      <c r="AC40" s="2130"/>
      <c r="AD40" s="2135" t="s">
        <v>423</v>
      </c>
      <c r="AE40" s="2116" t="s">
        <v>424</v>
      </c>
      <c r="AF40" s="2118" t="s">
        <v>425</v>
      </c>
      <c r="AG40" s="2120"/>
      <c r="AH40" s="2118" t="s">
        <v>426</v>
      </c>
      <c r="AI40" s="2119"/>
      <c r="AJ40" s="2120"/>
      <c r="AK40" s="2130"/>
      <c r="AL40" s="2133"/>
      <c r="AM40" s="1971"/>
    </row>
    <row customHeight="1" ht="33.75">
      <c r="A41" s="1400"/>
      <c r="B41" s="1400" t="s">
        <v>134</v>
      </c>
      <c r="C41" s="1400" t="s">
        <v>135</v>
      </c>
      <c r="D41" s="1400" t="s">
        <v>136</v>
      </c>
      <c r="E41" s="1394" t="s">
        <v>427</v>
      </c>
      <c r="F41" s="1394" t="s">
        <v>428</v>
      </c>
      <c r="G41" s="1394" t="s">
        <v>429</v>
      </c>
      <c r="H41" s="1394" t="s">
        <v>430</v>
      </c>
      <c r="I41" s="1394" t="s">
        <v>431</v>
      </c>
      <c r="J41" s="1394" t="s">
        <v>432</v>
      </c>
      <c r="K41" s="1394" t="s">
        <v>433</v>
      </c>
      <c r="L41" s="1394" t="s">
        <v>408</v>
      </c>
      <c r="Q41" s="377"/>
      <c r="R41" s="377"/>
      <c r="S41" s="2125"/>
      <c r="T41" s="2062"/>
      <c r="U41" s="290"/>
      <c r="V41" s="2136"/>
      <c r="W41" s="2117"/>
      <c r="X41" s="1237" t="s">
        <v>434</v>
      </c>
      <c r="Y41" s="1237" t="s">
        <v>435</v>
      </c>
      <c r="Z41" s="1236" t="s">
        <v>436</v>
      </c>
      <c r="AA41" s="2121" t="s">
        <v>437</v>
      </c>
      <c r="AB41" s="2122"/>
      <c r="AC41" s="2131"/>
      <c r="AD41" s="2136"/>
      <c r="AE41" s="2117"/>
      <c r="AF41" s="1237" t="s">
        <v>434</v>
      </c>
      <c r="AG41" s="1237" t="s">
        <v>435</v>
      </c>
      <c r="AH41" s="1343" t="s">
        <v>436</v>
      </c>
      <c r="AI41" s="2121" t="s">
        <v>437</v>
      </c>
      <c r="AJ41" s="2122"/>
      <c r="AK41" s="2131"/>
      <c r="AL41" s="2134"/>
      <c r="AM41" s="1971"/>
    </row>
    <row s="2611"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108</v>
      </c>
      <c r="T42" s="1281" t="s">
        <v>109</v>
      </c>
      <c r="U42" s="1263" t="str">
        <f>OFFSET(U42,0,-1)</f>
        <v>2</v>
      </c>
      <c r="V42" s="1282">
        <f>OFFSET(V42,0,-1)+1</f>
        <v>3</v>
      </c>
      <c r="W42" s="1282"/>
      <c r="X42" s="1282">
        <f>OFFSET(X42,0,-1)+1</f>
        <v>1</v>
      </c>
      <c r="Y42" s="1282">
        <f>OFFSET(Y42,0,-1)+1</f>
        <v>2</v>
      </c>
      <c r="Z42" s="1282">
        <f>OFFSET(Z42,0,-1)+1</f>
        <v>3</v>
      </c>
      <c r="AA42" s="2123">
        <f>OFFSET(AA42,0,-1)+1</f>
        <v>4</v>
      </c>
      <c r="AB42" s="2123"/>
      <c r="AC42" s="1282">
        <f>OFFSET(AC42,0,-2)+1</f>
        <v>5</v>
      </c>
      <c r="AD42" s="1342">
        <f>OFFSET(AD42,0,-1)+1</f>
        <v>6</v>
      </c>
      <c r="AE42" s="1342"/>
      <c r="AF42" s="1342">
        <f>OFFSET(AF42,0,-1)+1</f>
        <v>1</v>
      </c>
      <c r="AG42" s="1342">
        <f>OFFSET(AG42,0,-1)+1</f>
        <v>2</v>
      </c>
      <c r="AH42" s="1342">
        <f>OFFSET(AH42,0,-1)+1</f>
        <v>3</v>
      </c>
      <c r="AI42" s="2123">
        <f>OFFSET(AI42,0,-1)+1</f>
        <v>4</v>
      </c>
      <c r="AJ42" s="2123"/>
      <c r="AK42" s="1342">
        <f>OFFSET(AK42,0,-2)+1</f>
        <v>5</v>
      </c>
      <c r="AL42" s="1263">
        <f>OFFSET(AL42,0,-1)</f>
        <v>5</v>
      </c>
      <c r="AM42" s="1282">
        <f>OFFSET(AM42,0,-1)+1</f>
        <v>6</v>
      </c>
      <c r="AN42" s="517"/>
      <c r="AO42" s="517"/>
      <c r="AP42" s="517"/>
      <c r="AQ42" s="517"/>
      <c r="AR42" s="517"/>
    </row>
    <row customHeight="1" ht="23.25">
      <c r="A43" s="1393" t="s">
        <v>155</v>
      </c>
      <c r="B43" s="1393"/>
      <c r="C43" s="1393"/>
      <c r="D43" s="1393"/>
      <c r="E43" s="2107">
        <v>1</v>
      </c>
      <c r="F43" s="1393"/>
      <c r="G43" s="1393"/>
      <c r="H43" s="1393"/>
      <c r="I43" s="1393"/>
      <c r="J43" s="1393"/>
      <c r="K43" s="1393"/>
      <c r="L43" s="1394"/>
      <c r="M43" s="1395"/>
      <c r="N43" s="1395"/>
      <c r="O43" s="1395"/>
      <c r="P43" s="357"/>
      <c r="Q43" s="356"/>
      <c r="R43" s="351"/>
      <c r="S43" s="1241">
        <f>INDEX(PT_DIFFERENTIATION_NUM_NTAR,MATCH(A43,PT_DIFFERENTIATION_NTAR_ID,0))</f>
        <v>0</v>
      </c>
      <c r="T43" s="286" t="s">
        <v>122</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6"/>
      <c r="AP43" s="506" t="str">
        <f>IF(T43="","",T43)</f>
        <v>Наименование тарифа</v>
      </c>
      <c r="AQ43" s="506"/>
      <c r="AR43" s="506"/>
    </row>
    <row customHeight="1" ht="23.25">
      <c r="A44" s="1393" t="s">
        <v>155</v>
      </c>
      <c r="B44" s="1393" t="s">
        <v>156</v>
      </c>
      <c r="C44" s="1393"/>
      <c r="D44" s="1393"/>
      <c r="E44" s="2108"/>
      <c r="F44" s="2107">
        <v>1</v>
      </c>
      <c r="G44" s="1393"/>
      <c r="H44" s="1393"/>
      <c r="I44" s="1393"/>
      <c r="J44" s="1393"/>
      <c r="K44" s="1393"/>
      <c r="L44" s="1394"/>
      <c r="M44" s="1395"/>
      <c r="N44" s="1395"/>
      <c r="O44" s="1395"/>
      <c r="P44" s="528"/>
      <c r="Q44" s="348"/>
      <c r="R44" s="349"/>
      <c r="S44" s="1241" t="str">
        <f>INDEX(PT_DIFFERENTIATION_NUM_TER,MATCH(B44,PT_DIFFERENTIATION_TER_ID,0))</f>
        <v>.</v>
      </c>
      <c r="T44" s="298" t="s">
        <v>390</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391</v>
      </c>
      <c r="AO44" s="506"/>
      <c r="AP44" s="506" t="str">
        <f>IF(T44="","",T44)</f>
        <v>Территория действия тарифа</v>
      </c>
      <c r="AQ44" s="506"/>
      <c r="AR44" s="506"/>
    </row>
    <row customHeight="1" ht="23.25">
      <c r="A45" s="1393" t="s">
        <v>155</v>
      </c>
      <c r="B45" s="1393" t="s">
        <v>156</v>
      </c>
      <c r="C45" s="1393" t="s">
        <v>157</v>
      </c>
      <c r="D45" s="1393"/>
      <c r="E45" s="2108"/>
      <c r="F45" s="2108"/>
      <c r="G45" s="2107">
        <v>1</v>
      </c>
      <c r="H45" s="1393"/>
      <c r="I45" s="1393"/>
      <c r="J45" s="1393"/>
      <c r="K45" s="1393"/>
      <c r="L45" s="1394"/>
      <c r="M45" s="1395"/>
      <c r="N45" s="1395"/>
      <c r="O45" s="1395"/>
      <c r="P45" s="350"/>
      <c r="Q45" s="348"/>
      <c r="R45" s="349"/>
      <c r="S45" s="1241" t="str">
        <f>INDEX(PT_DIFFERENTIATION_NUM_CS,MATCH(C45,PT_DIFFERENTIATION_CS_ID,0))</f>
        <v>..</v>
      </c>
      <c r="T45" s="299" t="s">
        <v>392</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393</v>
      </c>
      <c r="AO45" s="506"/>
      <c r="AP45" s="506" t="str">
        <f>IF(T45="","",T45)</f>
        <v>Наименование системы теплоснабжения </v>
      </c>
      <c r="AQ45" s="506"/>
      <c r="AR45" s="506"/>
    </row>
    <row customHeight="1" ht="23.25">
      <c r="A46" s="1393" t="s">
        <v>155</v>
      </c>
      <c r="B46" s="1393" t="s">
        <v>156</v>
      </c>
      <c r="C46" s="1393" t="s">
        <v>157</v>
      </c>
      <c r="D46" s="1393" t="s">
        <v>158</v>
      </c>
      <c r="E46" s="2108"/>
      <c r="F46" s="2108"/>
      <c r="G46" s="2108"/>
      <c r="H46" s="2107">
        <v>1</v>
      </c>
      <c r="I46" s="1393"/>
      <c r="J46" s="1393"/>
      <c r="K46" s="1393"/>
      <c r="L46" s="1394"/>
      <c r="M46" s="1395"/>
      <c r="N46" s="1395"/>
      <c r="O46" s="1395"/>
      <c r="P46" s="350"/>
      <c r="Q46" s="348"/>
      <c r="R46" s="349"/>
      <c r="S46" s="1241" t="str">
        <f>INDEX(PT_DIFFERENTIATION_NUM_IST_TE,MATCH(D46,PT_DIFFERENTIATION_IST_TE_ID,0))</f>
        <v>...</v>
      </c>
      <c r="T46" s="300" t="s">
        <v>394</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395</v>
      </c>
      <c r="AO46" s="506"/>
      <c r="AP46" s="506" t="str">
        <f>IF(T46="","",T46)</f>
        <v>Источник тепловой энергии  </v>
      </c>
      <c r="AQ46" s="506"/>
      <c r="AR46" s="506"/>
    </row>
    <row customHeight="1" ht="47.25">
      <c r="A47" s="1393" t="s">
        <v>155</v>
      </c>
      <c r="B47" s="1393" t="s">
        <v>156</v>
      </c>
      <c r="C47" s="1393" t="s">
        <v>157</v>
      </c>
      <c r="D47" s="1393" t="s">
        <v>158</v>
      </c>
      <c r="E47" s="2108"/>
      <c r="F47" s="2108"/>
      <c r="G47" s="2108"/>
      <c r="H47" s="2108"/>
      <c r="I47" s="2109" t="str">
        <f>S46&amp;".1"</f>
        <v>....1</v>
      </c>
      <c r="J47" s="1393"/>
      <c r="K47" s="1393"/>
      <c r="L47" s="1394" t="s">
        <v>396</v>
      </c>
      <c r="P47" s="2111">
        <v>1</v>
      </c>
      <c r="Q47" s="1235"/>
      <c r="R47" s="352"/>
      <c r="S47" s="1241" t="str">
        <f>$I47</f>
        <v>....1</v>
      </c>
      <c r="T47" s="273" t="s">
        <v>397</v>
      </c>
      <c r="U47" s="288"/>
      <c r="V47" s="2095"/>
      <c r="W47" s="2096"/>
      <c r="X47" s="2096"/>
      <c r="Y47" s="2096"/>
      <c r="Z47" s="2096"/>
      <c r="AA47" s="2096"/>
      <c r="AB47" s="2096"/>
      <c r="AC47" s="2097"/>
      <c r="AD47" s="2095"/>
      <c r="AE47" s="2096"/>
      <c r="AF47" s="2096"/>
      <c r="AG47" s="2096"/>
      <c r="AH47" s="2096"/>
      <c r="AI47" s="2096"/>
      <c r="AJ47" s="2096"/>
      <c r="AK47" s="2096"/>
      <c r="AL47" s="2097"/>
      <c r="AM47" s="1286" t="s">
        <v>398</v>
      </c>
      <c r="AO47" s="506"/>
      <c r="AP47" s="506" t="str">
        <f>IF(T47="","",T47)</f>
        <v>Схема подключения теплопотребляющей установки к коллектору источника тепловой энергии</v>
      </c>
      <c r="AQ47" s="506"/>
      <c r="AR47" s="506"/>
    </row>
    <row customHeight="1" ht="23.25">
      <c r="A48" s="1393" t="s">
        <v>155</v>
      </c>
      <c r="B48" s="1393" t="s">
        <v>156</v>
      </c>
      <c r="C48" s="1393" t="s">
        <v>157</v>
      </c>
      <c r="D48" s="1393" t="s">
        <v>158</v>
      </c>
      <c r="E48" s="2108"/>
      <c r="F48" s="2108"/>
      <c r="G48" s="2108"/>
      <c r="H48" s="2108"/>
      <c r="I48" s="2110"/>
      <c r="J48" s="2109" t="str">
        <f>I47&amp;".1"</f>
        <v>....1.1</v>
      </c>
      <c r="K48" s="1393"/>
      <c r="L48" s="1394" t="s">
        <v>399</v>
      </c>
      <c r="P48" s="2111"/>
      <c r="Q48" s="2111">
        <v>1</v>
      </c>
      <c r="R48" s="353"/>
      <c r="S48" s="1241" t="str">
        <f>$J48</f>
        <v>....1.1</v>
      </c>
      <c r="T48" s="274" t="s">
        <v>400</v>
      </c>
      <c r="U48" s="288"/>
      <c r="V48" s="2095"/>
      <c r="W48" s="2096"/>
      <c r="X48" s="2096"/>
      <c r="Y48" s="2096"/>
      <c r="Z48" s="2096"/>
      <c r="AA48" s="2096"/>
      <c r="AB48" s="2096"/>
      <c r="AC48" s="2097"/>
      <c r="AD48" s="2095"/>
      <c r="AE48" s="2096"/>
      <c r="AF48" s="2096"/>
      <c r="AG48" s="2096"/>
      <c r="AH48" s="2096"/>
      <c r="AI48" s="2096"/>
      <c r="AJ48" s="2096"/>
      <c r="AK48" s="2096"/>
      <c r="AL48" s="2097"/>
      <c r="AM48" s="1286" t="s">
        <v>401</v>
      </c>
      <c r="AO48" s="506"/>
      <c r="AP48" s="506" t="str">
        <f>IF(T48="","",T48)</f>
        <v>Группа потребителей</v>
      </c>
      <c r="AQ48" s="506"/>
      <c r="AR48" s="506"/>
    </row>
    <row customHeight="1" ht="23.25">
      <c r="A49" s="1393" t="s">
        <v>155</v>
      </c>
      <c r="B49" s="1393" t="s">
        <v>156</v>
      </c>
      <c r="C49" s="1393" t="s">
        <v>157</v>
      </c>
      <c r="D49" s="1393" t="s">
        <v>158</v>
      </c>
      <c r="E49" s="2108"/>
      <c r="F49" s="2108"/>
      <c r="G49" s="2108"/>
      <c r="H49" s="2108"/>
      <c r="I49" s="2110"/>
      <c r="J49" s="2110"/>
      <c r="K49" s="2109" t="str">
        <f>J48&amp;".1"</f>
        <v>....1.1.1</v>
      </c>
      <c r="L49" s="1394" t="s">
        <v>402</v>
      </c>
      <c r="P49" s="2111"/>
      <c r="Q49" s="2111"/>
      <c r="R49" s="353">
        <v>1</v>
      </c>
      <c r="S49" s="1241" t="str">
        <f>$K49</f>
        <v>....1.1.1</v>
      </c>
      <c r="T49" s="1377"/>
      <c r="U49" s="288"/>
      <c r="V49" s="757"/>
      <c r="W49" s="320"/>
      <c r="X49" s="757"/>
      <c r="Y49" s="1285"/>
      <c r="Z49" s="2112"/>
      <c r="AA49" s="1981" t="s">
        <v>61</v>
      </c>
      <c r="AB49" s="2112"/>
      <c r="AC49" s="1981" t="s">
        <v>61</v>
      </c>
      <c r="AD49" s="757"/>
      <c r="AE49" s="320"/>
      <c r="AF49" s="757"/>
      <c r="AG49" s="1285"/>
      <c r="AH49" s="2112"/>
      <c r="AI49" s="1981" t="s">
        <v>61</v>
      </c>
      <c r="AJ49" s="2114"/>
      <c r="AK49" s="1981" t="s">
        <v>61</v>
      </c>
      <c r="AL49" s="1378"/>
      <c r="AM49" s="2137" t="s">
        <v>403</v>
      </c>
      <c r="AN49" s="517">
        <f>STRCHECKDATE(V50:AL50)</f>
      </c>
      <c r="AO49" s="506"/>
      <c r="AP49" s="506" t="str">
        <f>IF(T49="","",T49)</f>
        <v/>
      </c>
      <c r="AQ49" s="506"/>
      <c r="AR49" s="506"/>
    </row>
    <row customHeight="1" ht="0.75">
      <c r="A50" s="1393" t="s">
        <v>155</v>
      </c>
      <c r="B50" s="1393" t="s">
        <v>156</v>
      </c>
      <c r="C50" s="1393" t="s">
        <v>157</v>
      </c>
      <c r="D50" s="1393" t="s">
        <v>158</v>
      </c>
      <c r="E50" s="2108"/>
      <c r="F50" s="2108"/>
      <c r="G50" s="2108"/>
      <c r="H50" s="2108"/>
      <c r="I50" s="2110"/>
      <c r="J50" s="2110"/>
      <c r="K50" s="2109"/>
      <c r="L50" s="1394"/>
      <c r="P50" s="2111"/>
      <c r="Q50" s="2111"/>
      <c r="R50" s="353"/>
      <c r="S50" s="1239"/>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155</v>
      </c>
      <c r="B51" s="1393" t="s">
        <v>156</v>
      </c>
      <c r="C51" s="1393" t="s">
        <v>157</v>
      </c>
      <c r="D51" s="1393" t="s">
        <v>158</v>
      </c>
      <c r="E51" s="2108"/>
      <c r="F51" s="2108"/>
      <c r="G51" s="2108"/>
      <c r="H51" s="2108"/>
      <c r="I51" s="2110"/>
      <c r="J51" s="2109"/>
      <c r="K51" s="1393"/>
      <c r="L51" s="1394"/>
      <c r="P51" s="2111"/>
      <c r="Q51" s="2111"/>
      <c r="R51" s="352"/>
      <c r="S51" s="1308"/>
      <c r="T51" s="276" t="s">
        <v>404</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155</v>
      </c>
      <c r="B52" s="1393" t="s">
        <v>156</v>
      </c>
      <c r="C52" s="1393" t="s">
        <v>157</v>
      </c>
      <c r="D52" s="1393" t="s">
        <v>158</v>
      </c>
      <c r="E52" s="2108"/>
      <c r="F52" s="2108"/>
      <c r="G52" s="2108"/>
      <c r="H52" s="2108"/>
      <c r="I52" s="2109"/>
      <c r="J52" s="1393"/>
      <c r="K52" s="1393"/>
      <c r="L52" s="1394"/>
      <c r="P52" s="2111"/>
      <c r="Q52" s="1235"/>
      <c r="R52" s="352"/>
      <c r="S52" s="1308"/>
      <c r="T52" s="275" t="s">
        <v>405</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14.25">
      <c r="A53" s="1393" t="s">
        <v>155</v>
      </c>
      <c r="B53" s="1393" t="s">
        <v>156</v>
      </c>
      <c r="C53" s="1393" t="s">
        <v>157</v>
      </c>
      <c r="D53" s="1393" t="s">
        <v>158</v>
      </c>
      <c r="E53" s="2108"/>
      <c r="F53" s="2108"/>
      <c r="G53" s="2108"/>
      <c r="H53" s="2107"/>
      <c r="I53" s="1393"/>
      <c r="J53" s="1393"/>
      <c r="K53" s="1393"/>
      <c r="L53" s="1394"/>
      <c r="M53" s="1395"/>
      <c r="N53" s="1395"/>
      <c r="O53" s="543"/>
      <c r="P53" s="356"/>
      <c r="Q53" s="376"/>
      <c r="R53" s="351"/>
      <c r="S53" s="1308"/>
      <c r="T53" s="364" t="s">
        <v>406</v>
      </c>
      <c r="U53" s="367"/>
      <c r="V53" s="367"/>
      <c r="W53" s="367"/>
      <c r="X53" s="367"/>
      <c r="Y53" s="367"/>
      <c r="Z53" s="367"/>
      <c r="AA53" s="367"/>
      <c r="AB53" s="367"/>
      <c r="AC53" s="366"/>
      <c r="AD53" s="367"/>
      <c r="AE53" s="367"/>
      <c r="AF53" s="367"/>
      <c r="AG53" s="367"/>
      <c r="AH53" s="367"/>
      <c r="AI53" s="367"/>
      <c r="AJ53" s="367"/>
      <c r="AK53" s="366"/>
      <c r="AL53" s="367"/>
      <c r="AM53" s="291"/>
      <c r="AO53" s="506"/>
      <c r="AP53" s="506" t="str">
        <f>IF(T53="","",T53)</f>
        <v>Добавить схему подключения</v>
      </c>
      <c r="AQ53" s="506"/>
      <c r="AR53" s="506"/>
    </row>
    <row s="3274" customFormat="1" customHeight="1" ht="0.75">
      <c r="A54" s="1373" t="s">
        <v>155</v>
      </c>
      <c r="B54" s="1373" t="s">
        <v>156</v>
      </c>
      <c r="C54" s="1373" t="s">
        <v>157</v>
      </c>
      <c r="D54" s="1344"/>
      <c r="E54" s="2108"/>
      <c r="F54" s="2108"/>
      <c r="G54" s="2107"/>
      <c r="H54" s="1344"/>
      <c r="I54" s="1344"/>
      <c r="J54" s="1344"/>
      <c r="K54" s="1344"/>
      <c r="L54" s="1369"/>
      <c r="M54" s="1345"/>
      <c r="N54" s="1345"/>
      <c r="P54" s="1346"/>
      <c r="Q54" s="1347"/>
      <c r="R54" s="1346"/>
      <c r="S54" s="1352"/>
      <c r="T54" s="1355" t="s">
        <v>167</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274" customFormat="1" customHeight="1" ht="0.75">
      <c r="A55" s="1373" t="s">
        <v>155</v>
      </c>
      <c r="B55" s="1373" t="s">
        <v>156</v>
      </c>
      <c r="C55" s="1344"/>
      <c r="D55" s="1344"/>
      <c r="E55" s="2108"/>
      <c r="F55" s="2107"/>
      <c r="G55" s="1344"/>
      <c r="H55" s="1344"/>
      <c r="I55" s="1344"/>
      <c r="J55" s="1344"/>
      <c r="K55" s="1344"/>
      <c r="L55" s="1369"/>
      <c r="M55" s="1351"/>
      <c r="N55" s="1351"/>
      <c r="P55" s="1346"/>
      <c r="Q55" s="1347"/>
      <c r="R55" s="1346"/>
      <c r="S55" s="1352"/>
      <c r="T55" s="1355" t="s">
        <v>168</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2" customFormat="1" customHeight="1" ht="0.75">
      <c r="A56" s="1373" t="s">
        <v>155</v>
      </c>
      <c r="B56" s="1373"/>
      <c r="C56" s="1373"/>
      <c r="D56" s="1373"/>
      <c r="E56" s="2107"/>
      <c r="F56" s="1373"/>
      <c r="G56" s="1373"/>
      <c r="H56" s="1373"/>
      <c r="I56" s="1373"/>
      <c r="J56" s="1373"/>
      <c r="K56" s="1373"/>
      <c r="L56" s="1376"/>
      <c r="M56" s="1351"/>
      <c r="N56" s="1351"/>
      <c r="O56" s="524"/>
      <c r="P56" s="385"/>
      <c r="Q56" s="1374"/>
      <c r="R56" s="385"/>
      <c r="S56" s="1352"/>
      <c r="T56" s="1355" t="s">
        <v>169</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274"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170</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27">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64.5">
      <c r="O60" s="543"/>
      <c r="P60" s="133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14.25">
      <c r="O61" s="543"/>
    </row>
    <row customHeight="1" ht="18">
      <c r="O62" s="543"/>
      <c r="P62" s="1358"/>
      <c r="S62" s="1273"/>
      <c r="T62" s="2106"/>
      <c r="U62" s="2106"/>
      <c r="V62" s="2106"/>
      <c r="W62" s="2106"/>
      <c r="X62" s="2106"/>
      <c r="Y62" s="2106"/>
      <c r="Z62" s="2106"/>
      <c r="AA62" s="2106"/>
      <c r="AB62" s="2106"/>
      <c r="AC62" s="2106"/>
      <c r="AD62" s="2106"/>
      <c r="AE62" s="2106"/>
      <c r="AF62" s="2106"/>
      <c r="AG62" s="2106"/>
      <c r="AH62" s="2106"/>
      <c r="AI62" s="2106"/>
      <c r="AJ62" s="2106"/>
      <c r="AK62" s="2106"/>
      <c r="AL62" s="2106"/>
      <c r="AM62" s="2106"/>
    </row>
    <row customHeight="1" ht="18">
      <c r="O63" s="543"/>
      <c r="P63" s="1358"/>
      <c r="T63" s="2106"/>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27.75">
      <c r="O64" s="543"/>
      <c r="P64" s="1358"/>
      <c r="S64" s="1273"/>
      <c r="T64" s="2106"/>
      <c r="U64" s="2106"/>
      <c r="V64" s="2106"/>
      <c r="W64" s="2106"/>
      <c r="X64" s="2106"/>
      <c r="Y64" s="2106"/>
      <c r="Z64" s="2106"/>
      <c r="AA64" s="2106"/>
      <c r="AB64" s="2106"/>
      <c r="AC64" s="2106"/>
      <c r="AD64" s="2106"/>
      <c r="AE64" s="2106"/>
      <c r="AF64" s="2106"/>
      <c r="AG64" s="2106"/>
      <c r="AH64" s="2106"/>
      <c r="AI64" s="2106"/>
      <c r="AJ64" s="2106"/>
      <c r="AK64" s="2106"/>
      <c r="AL64" s="2106"/>
      <c r="AM64" s="2106"/>
    </row>
  </sheetData>
  <sheetProtection formatColumns="0" formatRows="0" autoFilter="0" sort="0" insertRows="0" insertColumns="1" deleteRows="0" deleteColumns="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2E59C8-42AA-46E8-506E-36C51D8651EA}" mc:Ignorable="x14ac xr xr2 xr3">
  <sheetPr>
    <tabColor theme="6" tint="0.4"/>
  </sheetPr>
  <dimension ref="A1:CF72"/>
  <sheetViews>
    <sheetView topLeftCell="A1" showGridLines="0" zoomScale="90" workbookViewId="0">
      <selection activeCell="AD57" sqref="AD57"/>
    </sheetView>
  </sheetViews>
  <sheetFormatPr defaultColWidth="10.57421875" customHeight="1" defaultRowHeight="14.25"/>
  <cols>
    <col min="1" max="1" style="3293" width="10.57421875" hidden="1"/>
    <col min="2" max="2" style="3293" width="11.00390625" hidden="1" customWidth="1"/>
    <col min="3" max="3" style="3293" width="10.57421875" hidden="1"/>
    <col min="4" max="4" style="3293" width="11.8515625" hidden="1" customWidth="1"/>
    <col min="5" max="5" style="3293" width="10.00390625" hidden="1" customWidth="1"/>
    <col min="6" max="6" style="3293" width="8.7109375" hidden="1" customWidth="1"/>
    <col min="7" max="7" style="3293" width="7.57421875" hidden="1" customWidth="1"/>
    <col min="8" max="8" style="3293" width="11.421875" hidden="1" customWidth="1"/>
    <col min="9" max="9" style="3293" width="12.00390625" hidden="1" customWidth="1"/>
    <col min="10" max="10" style="3293" width="9.8515625" hidden="1" customWidth="1"/>
    <col min="11" max="11" style="3293" width="11.421875" hidden="1" customWidth="1"/>
    <col min="12" max="12" style="3294" width="19.140625" hidden="1" customWidth="1"/>
    <col min="13" max="14" style="3295" width="12.28125" hidden="1" customWidth="1"/>
    <col min="15" max="15" style="3295" width="23.421875" hidden="1" customWidth="1"/>
    <col min="16" max="16" style="3316" width="3.7109375" customWidth="1"/>
    <col min="17" max="18" style="3372" width="3.7109375" customWidth="1"/>
    <col min="19" max="19" style="3373" width="12.7109375" customWidth="1"/>
    <col min="20" max="20" style="2941" width="32.00390625" customWidth="1"/>
    <col min="21" max="21" style="2941" width="0.140625" customWidth="1"/>
    <col min="22" max="22" style="2941" width="24.7109375" hidden="1" customWidth="1"/>
    <col min="23" max="23" style="2941" width="0.140625" hidden="1" customWidth="1"/>
    <col min="24" max="25" style="2941" width="24.7109375" hidden="1" customWidth="1"/>
    <col min="26" max="26" style="2941" width="11.7109375" hidden="1" customWidth="1"/>
    <col min="27" max="27" style="2941" width="3.7109375" hidden="1" customWidth="1"/>
    <col min="28" max="28" style="2941" width="11.7109375" hidden="1" customWidth="1"/>
    <col min="29" max="29" style="2941" width="8.57421875" hidden="1" customWidth="1"/>
    <col min="30" max="30" style="2941" width="24.7109375" customWidth="1"/>
    <col min="31" max="31" style="2941" width="0.140625" customWidth="1"/>
    <col min="32" max="32" style="2941" width="11.11328125" customWidth="1"/>
    <col min="33" max="33" style="2941" width="16.98046875" customWidth="1"/>
    <col min="34" max="34" style="2941" width="12.8515625" customWidth="1"/>
    <col min="35" max="35" style="2941" width="3.7109375" customWidth="1"/>
    <col min="36" max="36" style="2941" width="13.01171875" customWidth="1"/>
    <col min="37" max="37" style="2941" width="8.57421875" customWidth="1"/>
    <col min="77" max="77" width="10.57421875" hidden="1"/>
    <col min="78" max="78" style="2941" width="4.7109375" customWidth="1"/>
    <col min="79" max="79" style="2941" width="115.7109375" customWidth="1"/>
    <col min="80" max="81" style="2612" width="10.57421875"/>
    <col min="82" max="82" style="2612" width="11.140625" customWidth="1"/>
    <col min="83" max="84" style="2612" width="10.57421875"/>
  </cols>
  <sheetData>
    <row customHeight="1" ht="14.25" hidden="1">
      <c r="Y1" s="323"/>
      <c r="Z1" s="323"/>
      <c r="AG1" s="323"/>
      <c r="AH1" s="323"/>
      <c r="AL1" s="3374"/>
      <c r="AM1" s="3374"/>
      <c r="AN1" s="3374"/>
      <c r="AO1" s="3374"/>
      <c r="AP1" s="3374"/>
      <c r="AQ1" s="3374"/>
      <c r="AR1" s="3374"/>
      <c r="AS1" s="3374"/>
      <c r="AT1" s="3374"/>
      <c r="AU1" s="3374"/>
      <c r="AV1" s="3374"/>
      <c r="AW1" s="3374"/>
      <c r="AX1" s="3374"/>
      <c r="AY1" s="3374"/>
      <c r="AZ1" s="3374"/>
      <c r="BA1" s="3374"/>
      <c r="BB1" s="3374"/>
      <c r="BC1" s="3374"/>
      <c r="BD1" s="3374"/>
      <c r="BE1" s="3374"/>
      <c r="BF1" s="3374"/>
      <c r="BG1" s="3374"/>
      <c r="BH1" s="3374"/>
      <c r="BI1" s="3374"/>
      <c r="BJ1" s="3374"/>
      <c r="BK1" s="3374"/>
      <c r="BL1" s="3374"/>
      <c r="BM1" s="3374"/>
      <c r="BN1" s="3374"/>
      <c r="BO1" s="3374"/>
      <c r="BP1" s="3374"/>
      <c r="BQ1" s="3374"/>
      <c r="BR1" s="3374"/>
      <c r="BS1" s="3374"/>
      <c r="BT1" s="3374"/>
      <c r="BU1" s="3374"/>
      <c r="BV1" s="3374"/>
      <c r="BW1" s="3374"/>
      <c r="BX1" s="3374"/>
      <c r="BY1" s="3374"/>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122</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3376"/>
      <c r="AM2" s="3377"/>
      <c r="AN2" s="3377"/>
      <c r="AO2" s="3377"/>
      <c r="AP2" s="3377"/>
      <c r="AQ2" s="3377"/>
      <c r="AR2" s="3377"/>
      <c r="AS2" s="3378"/>
      <c r="AT2" s="3376"/>
      <c r="AU2" s="3377"/>
      <c r="AV2" s="3377"/>
      <c r="AW2" s="3377"/>
      <c r="AX2" s="3377"/>
      <c r="AY2" s="3377"/>
      <c r="AZ2" s="3377"/>
      <c r="BA2" s="3378"/>
      <c r="BB2" s="3376"/>
      <c r="BC2" s="3377"/>
      <c r="BD2" s="3377"/>
      <c r="BE2" s="3377"/>
      <c r="BF2" s="3377"/>
      <c r="BG2" s="3377"/>
      <c r="BH2" s="3377"/>
      <c r="BI2" s="3378"/>
      <c r="BJ2" s="3376"/>
      <c r="BK2" s="3377"/>
      <c r="BL2" s="3377"/>
      <c r="BM2" s="3377"/>
      <c r="BN2" s="3377"/>
      <c r="BO2" s="3377"/>
      <c r="BP2" s="3377"/>
      <c r="BQ2" s="3378"/>
      <c r="BR2" s="3376"/>
      <c r="BS2" s="3377"/>
      <c r="BT2" s="3377"/>
      <c r="BU2" s="3377"/>
      <c r="BV2" s="3377"/>
      <c r="BW2" s="3377"/>
      <c r="BX2" s="3377"/>
      <c r="BY2" s="3378"/>
      <c r="BZ2" s="2103"/>
      <c r="CA2" s="1286" t="s">
        <v>389</v>
      </c>
      <c r="CC2" s="506"/>
      <c r="CD2" s="506" t="str">
        <f>IF(T2="","",T2)</f>
        <v>Наименование тарифа</v>
      </c>
      <c r="CE2" s="506"/>
      <c r="CF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390</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3376"/>
      <c r="AM3" s="3377"/>
      <c r="AN3" s="3377"/>
      <c r="AO3" s="3377"/>
      <c r="AP3" s="3377"/>
      <c r="AQ3" s="3377"/>
      <c r="AR3" s="3377"/>
      <c r="AS3" s="3378"/>
      <c r="AT3" s="3376"/>
      <c r="AU3" s="3377"/>
      <c r="AV3" s="3377"/>
      <c r="AW3" s="3377"/>
      <c r="AX3" s="3377"/>
      <c r="AY3" s="3377"/>
      <c r="AZ3" s="3377"/>
      <c r="BA3" s="3378"/>
      <c r="BB3" s="3376"/>
      <c r="BC3" s="3377"/>
      <c r="BD3" s="3377"/>
      <c r="BE3" s="3377"/>
      <c r="BF3" s="3377"/>
      <c r="BG3" s="3377"/>
      <c r="BH3" s="3377"/>
      <c r="BI3" s="3378"/>
      <c r="BJ3" s="3376"/>
      <c r="BK3" s="3377"/>
      <c r="BL3" s="3377"/>
      <c r="BM3" s="3377"/>
      <c r="BN3" s="3377"/>
      <c r="BO3" s="3377"/>
      <c r="BP3" s="3377"/>
      <c r="BQ3" s="3378"/>
      <c r="BR3" s="3376"/>
      <c r="BS3" s="3377"/>
      <c r="BT3" s="3377"/>
      <c r="BU3" s="3377"/>
      <c r="BV3" s="3377"/>
      <c r="BW3" s="3377"/>
      <c r="BX3" s="3377"/>
      <c r="BY3" s="3378"/>
      <c r="BZ3" s="2103"/>
      <c r="CA3" s="1286" t="s">
        <v>391</v>
      </c>
      <c r="CC3" s="506"/>
      <c r="CD3" s="506" t="str">
        <f>IF(T3="","",T3)</f>
        <v>Территория действия тарифа</v>
      </c>
      <c r="CE3" s="506"/>
      <c r="CF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392</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3376"/>
      <c r="AM4" s="3377"/>
      <c r="AN4" s="3377"/>
      <c r="AO4" s="3377"/>
      <c r="AP4" s="3377"/>
      <c r="AQ4" s="3377"/>
      <c r="AR4" s="3377"/>
      <c r="AS4" s="3378"/>
      <c r="AT4" s="3376"/>
      <c r="AU4" s="3377"/>
      <c r="AV4" s="3377"/>
      <c r="AW4" s="3377"/>
      <c r="AX4" s="3377"/>
      <c r="AY4" s="3377"/>
      <c r="AZ4" s="3377"/>
      <c r="BA4" s="3378"/>
      <c r="BB4" s="3376"/>
      <c r="BC4" s="3377"/>
      <c r="BD4" s="3377"/>
      <c r="BE4" s="3377"/>
      <c r="BF4" s="3377"/>
      <c r="BG4" s="3377"/>
      <c r="BH4" s="3377"/>
      <c r="BI4" s="3378"/>
      <c r="BJ4" s="3376"/>
      <c r="BK4" s="3377"/>
      <c r="BL4" s="3377"/>
      <c r="BM4" s="3377"/>
      <c r="BN4" s="3377"/>
      <c r="BO4" s="3377"/>
      <c r="BP4" s="3377"/>
      <c r="BQ4" s="3378"/>
      <c r="BR4" s="3376"/>
      <c r="BS4" s="3377"/>
      <c r="BT4" s="3377"/>
      <c r="BU4" s="3377"/>
      <c r="BV4" s="3377"/>
      <c r="BW4" s="3377"/>
      <c r="BX4" s="3377"/>
      <c r="BY4" s="3378"/>
      <c r="BZ4" s="2103"/>
      <c r="CA4" s="1286" t="s">
        <v>393</v>
      </c>
      <c r="CC4" s="506"/>
      <c r="CD4" s="506" t="str">
        <f>IF(T4="","",T4)</f>
        <v>Наименование системы теплоснабжения </v>
      </c>
      <c r="CE4" s="506"/>
      <c r="CF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394</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3376"/>
      <c r="AM5" s="3377"/>
      <c r="AN5" s="3377"/>
      <c r="AO5" s="3377"/>
      <c r="AP5" s="3377"/>
      <c r="AQ5" s="3377"/>
      <c r="AR5" s="3377"/>
      <c r="AS5" s="3378"/>
      <c r="AT5" s="3376"/>
      <c r="AU5" s="3377"/>
      <c r="AV5" s="3377"/>
      <c r="AW5" s="3377"/>
      <c r="AX5" s="3377"/>
      <c r="AY5" s="3377"/>
      <c r="AZ5" s="3377"/>
      <c r="BA5" s="3378"/>
      <c r="BB5" s="3376"/>
      <c r="BC5" s="3377"/>
      <c r="BD5" s="3377"/>
      <c r="BE5" s="3377"/>
      <c r="BF5" s="3377"/>
      <c r="BG5" s="3377"/>
      <c r="BH5" s="3377"/>
      <c r="BI5" s="3378"/>
      <c r="BJ5" s="3376"/>
      <c r="BK5" s="3377"/>
      <c r="BL5" s="3377"/>
      <c r="BM5" s="3377"/>
      <c r="BN5" s="3377"/>
      <c r="BO5" s="3377"/>
      <c r="BP5" s="3377"/>
      <c r="BQ5" s="3378"/>
      <c r="BR5" s="3376"/>
      <c r="BS5" s="3377"/>
      <c r="BT5" s="3377"/>
      <c r="BU5" s="3377"/>
      <c r="BV5" s="3377"/>
      <c r="BW5" s="3377"/>
      <c r="BX5" s="3377"/>
      <c r="BY5" s="3378"/>
      <c r="BZ5" s="2103"/>
      <c r="CA5" s="1286" t="s">
        <v>395</v>
      </c>
      <c r="CC5" s="506"/>
      <c r="CD5" s="506" t="str">
        <f>IF(T5="","",T5)</f>
        <v>Источник тепловой энергии  </v>
      </c>
      <c r="CE5" s="506"/>
      <c r="CF5" s="506"/>
    </row>
    <row customHeight="1" ht="47.25" hidden="1">
      <c r="A6" s="1393"/>
      <c r="B6" s="1393"/>
      <c r="C6" s="1393"/>
      <c r="D6" s="1393"/>
      <c r="E6" s="2108"/>
      <c r="F6" s="2108"/>
      <c r="G6" s="2108"/>
      <c r="H6" s="2108"/>
      <c r="I6" s="2109">
        <f>S5&amp;".1"</f>
      </c>
      <c r="J6" s="1393"/>
      <c r="K6" s="1393"/>
      <c r="L6" s="1394" t="s">
        <v>396</v>
      </c>
      <c r="M6" s="543"/>
      <c r="P6" s="2111">
        <v>1</v>
      </c>
      <c r="Q6" s="1361"/>
      <c r="R6" s="352"/>
      <c r="S6" s="1366">
        <f>$I6</f>
      </c>
      <c r="T6" s="273" t="s">
        <v>397</v>
      </c>
      <c r="U6" s="288"/>
      <c r="V6" s="2095"/>
      <c r="W6" s="2096"/>
      <c r="X6" s="2096"/>
      <c r="Y6" s="2096"/>
      <c r="Z6" s="2096"/>
      <c r="AA6" s="2096"/>
      <c r="AB6" s="2096"/>
      <c r="AC6" s="2097"/>
      <c r="AD6" s="2095"/>
      <c r="AE6" s="2096"/>
      <c r="AF6" s="2096"/>
      <c r="AG6" s="2096"/>
      <c r="AH6" s="2096"/>
      <c r="AI6" s="2096"/>
      <c r="AJ6" s="2096"/>
      <c r="AK6" s="2096"/>
      <c r="AL6" s="3381"/>
      <c r="AM6" s="3382"/>
      <c r="AN6" s="3382"/>
      <c r="AO6" s="3382"/>
      <c r="AP6" s="3382"/>
      <c r="AQ6" s="3382"/>
      <c r="AR6" s="3382"/>
      <c r="AS6" s="3383"/>
      <c r="AT6" s="3381"/>
      <c r="AU6" s="3382"/>
      <c r="AV6" s="3382"/>
      <c r="AW6" s="3382"/>
      <c r="AX6" s="3382"/>
      <c r="AY6" s="3382"/>
      <c r="AZ6" s="3382"/>
      <c r="BA6" s="3383"/>
      <c r="BB6" s="3381"/>
      <c r="BC6" s="3382"/>
      <c r="BD6" s="3382"/>
      <c r="BE6" s="3382"/>
      <c r="BF6" s="3382"/>
      <c r="BG6" s="3382"/>
      <c r="BH6" s="3382"/>
      <c r="BI6" s="3383"/>
      <c r="BJ6" s="3381"/>
      <c r="BK6" s="3382"/>
      <c r="BL6" s="3382"/>
      <c r="BM6" s="3382"/>
      <c r="BN6" s="3382"/>
      <c r="BO6" s="3382"/>
      <c r="BP6" s="3382"/>
      <c r="BQ6" s="3383"/>
      <c r="BR6" s="3381"/>
      <c r="BS6" s="3382"/>
      <c r="BT6" s="3382"/>
      <c r="BU6" s="3382"/>
      <c r="BV6" s="3382"/>
      <c r="BW6" s="3382"/>
      <c r="BX6" s="3382"/>
      <c r="BY6" s="3383"/>
      <c r="BZ6" s="2097"/>
      <c r="CA6" s="1286" t="s">
        <v>398</v>
      </c>
      <c r="CC6" s="506"/>
      <c r="CD6" s="506" t="str">
        <f>IF(T6="","",T6)</f>
        <v>Схема подключения теплопотребляющей установки к коллектору источника тепловой энергии</v>
      </c>
      <c r="CE6" s="506"/>
      <c r="CF6" s="506"/>
    </row>
    <row customHeight="1" ht="21" hidden="1">
      <c r="A7" s="1393"/>
      <c r="B7" s="1393"/>
      <c r="C7" s="1393"/>
      <c r="D7" s="1393"/>
      <c r="E7" s="2108"/>
      <c r="F7" s="2108"/>
      <c r="G7" s="2108"/>
      <c r="H7" s="2108"/>
      <c r="I7" s="2110"/>
      <c r="J7" s="2109">
        <f>I6&amp;".1"</f>
      </c>
      <c r="K7" s="1393"/>
      <c r="L7" s="1394" t="s">
        <v>399</v>
      </c>
      <c r="M7" s="543"/>
      <c r="N7" s="1396"/>
      <c r="P7" s="2111"/>
      <c r="Q7" s="2111">
        <v>1</v>
      </c>
      <c r="R7" s="353"/>
      <c r="S7" s="1366">
        <f>$J7</f>
      </c>
      <c r="T7" s="274" t="s">
        <v>400</v>
      </c>
      <c r="U7" s="288"/>
      <c r="V7" s="2095"/>
      <c r="W7" s="2096"/>
      <c r="X7" s="2096"/>
      <c r="Y7" s="2096"/>
      <c r="Z7" s="2096"/>
      <c r="AA7" s="2096"/>
      <c r="AB7" s="2096"/>
      <c r="AC7" s="2097"/>
      <c r="AD7" s="2095"/>
      <c r="AE7" s="2096"/>
      <c r="AF7" s="2096"/>
      <c r="AG7" s="2096"/>
      <c r="AH7" s="2096"/>
      <c r="AI7" s="2096"/>
      <c r="AJ7" s="2096"/>
      <c r="AK7" s="2096"/>
      <c r="AL7" s="3381"/>
      <c r="AM7" s="3382"/>
      <c r="AN7" s="3382"/>
      <c r="AO7" s="3382"/>
      <c r="AP7" s="3382"/>
      <c r="AQ7" s="3382"/>
      <c r="AR7" s="3382"/>
      <c r="AS7" s="3383"/>
      <c r="AT7" s="3381"/>
      <c r="AU7" s="3382"/>
      <c r="AV7" s="3382"/>
      <c r="AW7" s="3382"/>
      <c r="AX7" s="3382"/>
      <c r="AY7" s="3382"/>
      <c r="AZ7" s="3382"/>
      <c r="BA7" s="3383"/>
      <c r="BB7" s="3381"/>
      <c r="BC7" s="3382"/>
      <c r="BD7" s="3382"/>
      <c r="BE7" s="3382"/>
      <c r="BF7" s="3382"/>
      <c r="BG7" s="3382"/>
      <c r="BH7" s="3382"/>
      <c r="BI7" s="3383"/>
      <c r="BJ7" s="3381"/>
      <c r="BK7" s="3382"/>
      <c r="BL7" s="3382"/>
      <c r="BM7" s="3382"/>
      <c r="BN7" s="3382"/>
      <c r="BO7" s="3382"/>
      <c r="BP7" s="3382"/>
      <c r="BQ7" s="3383"/>
      <c r="BR7" s="3381"/>
      <c r="BS7" s="3382"/>
      <c r="BT7" s="3382"/>
      <c r="BU7" s="3382"/>
      <c r="BV7" s="3382"/>
      <c r="BW7" s="3382"/>
      <c r="BX7" s="3382"/>
      <c r="BY7" s="3383"/>
      <c r="BZ7" s="2097"/>
      <c r="CA7" s="1286" t="s">
        <v>401</v>
      </c>
      <c r="CC7" s="506"/>
      <c r="CD7" s="506" t="str">
        <f>IF(T7="","",T7)</f>
        <v>Группа потребителей</v>
      </c>
      <c r="CE7" s="506"/>
      <c r="CF7" s="506"/>
    </row>
    <row customHeight="1" ht="21" hidden="1">
      <c r="A8" s="1393"/>
      <c r="B8" s="1393"/>
      <c r="C8" s="1393"/>
      <c r="D8" s="1393"/>
      <c r="E8" s="2108"/>
      <c r="F8" s="2108"/>
      <c r="G8" s="2108"/>
      <c r="H8" s="2108"/>
      <c r="I8" s="2110"/>
      <c r="J8" s="2110"/>
      <c r="K8" s="2109">
        <f>J7&amp;".1"</f>
      </c>
      <c r="L8" s="1394" t="s">
        <v>402</v>
      </c>
      <c r="M8" s="543"/>
      <c r="N8" s="1396"/>
      <c r="O8" s="1396"/>
      <c r="P8" s="2111"/>
      <c r="Q8" s="2111"/>
      <c r="R8" s="353">
        <v>1</v>
      </c>
      <c r="S8" s="1366">
        <f>$K8</f>
      </c>
      <c r="T8" s="1377"/>
      <c r="U8" s="288"/>
      <c r="V8" s="757"/>
      <c r="W8" s="320"/>
      <c r="X8" s="757"/>
      <c r="Y8" s="1285"/>
      <c r="Z8" s="2112"/>
      <c r="AA8" s="1981" t="s">
        <v>61</v>
      </c>
      <c r="AB8" s="2112"/>
      <c r="AC8" s="1981" t="s">
        <v>61</v>
      </c>
      <c r="AD8" s="757"/>
      <c r="AE8" s="320"/>
      <c r="AF8" s="757"/>
      <c r="AG8" s="1285"/>
      <c r="AH8" s="2112"/>
      <c r="AI8" s="1981" t="s">
        <v>61</v>
      </c>
      <c r="AJ8" s="2112"/>
      <c r="AK8" s="1981" t="s">
        <v>61</v>
      </c>
      <c r="AL8" s="3384"/>
      <c r="AM8" s="3385"/>
      <c r="AN8" s="3384"/>
      <c r="AO8" s="3386"/>
      <c r="AP8" s="3387"/>
      <c r="AQ8" s="2861" t="s">
        <v>61</v>
      </c>
      <c r="AR8" s="3387"/>
      <c r="AS8" s="2861" t="s">
        <v>61</v>
      </c>
      <c r="AT8" s="3384"/>
      <c r="AU8" s="3385"/>
      <c r="AV8" s="3384"/>
      <c r="AW8" s="3386"/>
      <c r="AX8" s="3387"/>
      <c r="AY8" s="2861" t="s">
        <v>61</v>
      </c>
      <c r="AZ8" s="3387"/>
      <c r="BA8" s="2861" t="s">
        <v>61</v>
      </c>
      <c r="BB8" s="3384"/>
      <c r="BC8" s="3385"/>
      <c r="BD8" s="3384"/>
      <c r="BE8" s="3386"/>
      <c r="BF8" s="3387"/>
      <c r="BG8" s="2861" t="s">
        <v>61</v>
      </c>
      <c r="BH8" s="3387"/>
      <c r="BI8" s="2861" t="s">
        <v>61</v>
      </c>
      <c r="BJ8" s="3384"/>
      <c r="BK8" s="3385"/>
      <c r="BL8" s="3384"/>
      <c r="BM8" s="3386"/>
      <c r="BN8" s="3387"/>
      <c r="BO8" s="2861" t="s">
        <v>61</v>
      </c>
      <c r="BP8" s="3387"/>
      <c r="BQ8" s="2861" t="s">
        <v>61</v>
      </c>
      <c r="BR8" s="3384"/>
      <c r="BS8" s="3385"/>
      <c r="BT8" s="3384"/>
      <c r="BU8" s="3386"/>
      <c r="BV8" s="3387"/>
      <c r="BW8" s="2861" t="s">
        <v>61</v>
      </c>
      <c r="BX8" s="3387"/>
      <c r="BY8" s="2861" t="s">
        <v>61</v>
      </c>
      <c r="BZ8" s="320"/>
      <c r="CA8" s="2137" t="s">
        <v>403</v>
      </c>
      <c r="CB8" s="517">
        <f>STRCHECKDATE(V9:BZ9)</f>
      </c>
      <c r="CC8" s="506"/>
      <c r="CD8" s="506" t="str">
        <f>IF(T8="","",T8)</f>
        <v/>
      </c>
      <c r="CE8" s="506"/>
      <c r="CF8" s="506"/>
    </row>
    <row customHeight="1" ht="0.7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385"/>
      <c r="AM9" s="3385"/>
      <c r="AN9" s="3385"/>
      <c r="AO9" s="3389" t="str">
        <f>AP8&amp;"-"&amp;AR8</f>
        <v>-</v>
      </c>
      <c r="AP9" s="3390"/>
      <c r="AQ9" s="2861"/>
      <c r="AR9" s="3390"/>
      <c r="AS9" s="2861"/>
      <c r="AT9" s="3385"/>
      <c r="AU9" s="3385"/>
      <c r="AV9" s="3385"/>
      <c r="AW9" s="3389" t="str">
        <f>AX8&amp;"-"&amp;AZ8</f>
        <v>-</v>
      </c>
      <c r="AX9" s="3390"/>
      <c r="AY9" s="2861"/>
      <c r="AZ9" s="3390"/>
      <c r="BA9" s="2861"/>
      <c r="BB9" s="3385"/>
      <c r="BC9" s="3385"/>
      <c r="BD9" s="3385"/>
      <c r="BE9" s="3389" t="str">
        <f>BF8&amp;"-"&amp;BH8</f>
        <v>-</v>
      </c>
      <c r="BF9" s="3390"/>
      <c r="BG9" s="2861"/>
      <c r="BH9" s="3390"/>
      <c r="BI9" s="2861"/>
      <c r="BJ9" s="3385"/>
      <c r="BK9" s="3385"/>
      <c r="BL9" s="3385"/>
      <c r="BM9" s="3389" t="str">
        <f>BN8&amp;"-"&amp;BP8</f>
        <v>-</v>
      </c>
      <c r="BN9" s="3390"/>
      <c r="BO9" s="2861"/>
      <c r="BP9" s="3390"/>
      <c r="BQ9" s="2861"/>
      <c r="BR9" s="3385"/>
      <c r="BS9" s="3385"/>
      <c r="BT9" s="3385"/>
      <c r="BU9" s="3389" t="str">
        <f>BV8&amp;"-"&amp;BX8</f>
        <v>-</v>
      </c>
      <c r="BV9" s="3390"/>
      <c r="BW9" s="2861"/>
      <c r="BX9" s="3390"/>
      <c r="BY9" s="2861"/>
      <c r="BZ9" s="320"/>
      <c r="CA9" s="2138"/>
      <c r="CC9" s="506"/>
      <c r="CD9" s="506" t="str">
        <f>IF(T9="","",T9)</f>
        <v/>
      </c>
      <c r="CE9" s="506"/>
      <c r="CF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6" t="s">
        <v>404</v>
      </c>
      <c r="U10" s="367"/>
      <c r="V10" s="367"/>
      <c r="W10" s="367"/>
      <c r="X10" s="367"/>
      <c r="Y10" s="367"/>
      <c r="Z10" s="367"/>
      <c r="AA10" s="367"/>
      <c r="AB10" s="367"/>
      <c r="AC10" s="367"/>
      <c r="AD10" s="367"/>
      <c r="AE10" s="367"/>
      <c r="AF10" s="367"/>
      <c r="AG10" s="367"/>
      <c r="AH10" s="367"/>
      <c r="AI10" s="367"/>
      <c r="AJ10" s="367"/>
      <c r="AK10" s="367"/>
      <c r="AL10" s="3391"/>
      <c r="AM10" s="3392"/>
      <c r="AN10" s="3393"/>
      <c r="AO10" s="3394"/>
      <c r="AP10" s="3395"/>
      <c r="AQ10" s="3396"/>
      <c r="AR10" s="3397"/>
      <c r="AS10" s="3398"/>
      <c r="AT10" s="3399"/>
      <c r="AU10" s="3400"/>
      <c r="AV10" s="3401"/>
      <c r="AW10" s="3402"/>
      <c r="AX10" s="3403"/>
      <c r="AY10" s="3404"/>
      <c r="AZ10" s="3405"/>
      <c r="BA10" s="3406"/>
      <c r="BB10" s="3407"/>
      <c r="BC10" s="3408"/>
      <c r="BD10" s="3409"/>
      <c r="BE10" s="3410"/>
      <c r="BF10" s="3411"/>
      <c r="BG10" s="3412"/>
      <c r="BH10" s="3413"/>
      <c r="BI10" s="3414"/>
      <c r="BJ10" s="3415"/>
      <c r="BK10" s="3416"/>
      <c r="BL10" s="3417"/>
      <c r="BM10" s="3418"/>
      <c r="BN10" s="3419"/>
      <c r="BO10" s="3420"/>
      <c r="BP10" s="3421"/>
      <c r="BQ10" s="3422"/>
      <c r="BR10" s="3423"/>
      <c r="BS10" s="3424"/>
      <c r="BT10" s="3425"/>
      <c r="BU10" s="3426"/>
      <c r="BV10" s="3427"/>
      <c r="BW10" s="3428"/>
      <c r="BX10" s="3429"/>
      <c r="BY10" s="3430"/>
      <c r="BZ10" s="319"/>
      <c r="CA10" s="2139"/>
      <c r="CC10" s="506"/>
      <c r="CD10" s="506" t="str">
        <f>IF(T10="","",T10)</f>
        <v>Добавить вид теплоносителя (параметры теплоносителя)</v>
      </c>
      <c r="CE10" s="506"/>
      <c r="CF10" s="506"/>
    </row>
    <row customHeight="1" ht="15" hidden="1">
      <c r="A11" s="1393"/>
      <c r="B11" s="1393"/>
      <c r="C11" s="1393"/>
      <c r="D11" s="1393"/>
      <c r="E11" s="2108"/>
      <c r="F11" s="2108"/>
      <c r="G11" s="2108"/>
      <c r="H11" s="2108"/>
      <c r="I11" s="2109"/>
      <c r="J11" s="1393"/>
      <c r="K11" s="1393"/>
      <c r="L11" s="1394"/>
      <c r="M11" s="543"/>
      <c r="P11" s="2111"/>
      <c r="Q11" s="1361"/>
      <c r="R11" s="352"/>
      <c r="S11" s="1308"/>
      <c r="T11" s="275" t="s">
        <v>405</v>
      </c>
      <c r="U11" s="367"/>
      <c r="V11" s="367"/>
      <c r="W11" s="367"/>
      <c r="X11" s="367"/>
      <c r="Y11" s="367"/>
      <c r="Z11" s="367"/>
      <c r="AA11" s="367"/>
      <c r="AB11" s="367"/>
      <c r="AC11" s="366"/>
      <c r="AD11" s="367"/>
      <c r="AE11" s="367"/>
      <c r="AF11" s="367"/>
      <c r="AG11" s="367"/>
      <c r="AH11" s="367"/>
      <c r="AI11" s="367"/>
      <c r="AJ11" s="367"/>
      <c r="AK11" s="366"/>
      <c r="AL11" s="3431"/>
      <c r="AM11" s="3432"/>
      <c r="AN11" s="3433"/>
      <c r="AO11" s="3434"/>
      <c r="AP11" s="3435"/>
      <c r="AQ11" s="3436"/>
      <c r="AR11" s="3437"/>
      <c r="AS11" s="3438"/>
      <c r="AT11" s="3439"/>
      <c r="AU11" s="3440"/>
      <c r="AV11" s="3441"/>
      <c r="AW11" s="3442"/>
      <c r="AX11" s="3443"/>
      <c r="AY11" s="3444"/>
      <c r="AZ11" s="3445"/>
      <c r="BA11" s="3446"/>
      <c r="BB11" s="3447"/>
      <c r="BC11" s="3448"/>
      <c r="BD11" s="3449"/>
      <c r="BE11" s="3450"/>
      <c r="BF11" s="3451"/>
      <c r="BG11" s="3452"/>
      <c r="BH11" s="3453"/>
      <c r="BI11" s="3454"/>
      <c r="BJ11" s="3455"/>
      <c r="BK11" s="3456"/>
      <c r="BL11" s="3457"/>
      <c r="BM11" s="3458"/>
      <c r="BN11" s="3459"/>
      <c r="BO11" s="3460"/>
      <c r="BP11" s="3461"/>
      <c r="BQ11" s="3462"/>
      <c r="BR11" s="3463"/>
      <c r="BS11" s="3464"/>
      <c r="BT11" s="3465"/>
      <c r="BU11" s="3466"/>
      <c r="BV11" s="3467"/>
      <c r="BW11" s="3468"/>
      <c r="BX11" s="3469"/>
      <c r="BY11" s="3470"/>
      <c r="BZ11" s="367"/>
      <c r="CA11" s="291"/>
      <c r="CC11" s="506"/>
      <c r="CD11" s="506" t="str">
        <f>IF(T11="","",T11)</f>
        <v>Добавить группу потребителей</v>
      </c>
      <c r="CE11" s="506"/>
      <c r="CF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308"/>
      <c r="T12" s="364" t="s">
        <v>406</v>
      </c>
      <c r="U12" s="367"/>
      <c r="V12" s="367"/>
      <c r="W12" s="367"/>
      <c r="X12" s="367"/>
      <c r="Y12" s="367"/>
      <c r="Z12" s="367"/>
      <c r="AA12" s="367"/>
      <c r="AB12" s="367"/>
      <c r="AC12" s="366"/>
      <c r="AD12" s="367"/>
      <c r="AE12" s="367"/>
      <c r="AF12" s="367"/>
      <c r="AG12" s="367"/>
      <c r="AH12" s="367"/>
      <c r="AI12" s="367"/>
      <c r="AJ12" s="367"/>
      <c r="AK12" s="366"/>
      <c r="AL12" s="3471"/>
      <c r="AM12" s="3472"/>
      <c r="AN12" s="3473"/>
      <c r="AO12" s="3474"/>
      <c r="AP12" s="3475"/>
      <c r="AQ12" s="3476"/>
      <c r="AR12" s="3477"/>
      <c r="AS12" s="3478"/>
      <c r="AT12" s="3479"/>
      <c r="AU12" s="3480"/>
      <c r="AV12" s="3481"/>
      <c r="AW12" s="3482"/>
      <c r="AX12" s="3483"/>
      <c r="AY12" s="3484"/>
      <c r="AZ12" s="3485"/>
      <c r="BA12" s="3486"/>
      <c r="BB12" s="3487"/>
      <c r="BC12" s="3488"/>
      <c r="BD12" s="3489"/>
      <c r="BE12" s="3490"/>
      <c r="BF12" s="3491"/>
      <c r="BG12" s="3492"/>
      <c r="BH12" s="3493"/>
      <c r="BI12" s="3494"/>
      <c r="BJ12" s="3495"/>
      <c r="BK12" s="3496"/>
      <c r="BL12" s="3497"/>
      <c r="BM12" s="3498"/>
      <c r="BN12" s="3499"/>
      <c r="BO12" s="3500"/>
      <c r="BP12" s="3501"/>
      <c r="BQ12" s="3502"/>
      <c r="BR12" s="3503"/>
      <c r="BS12" s="3504"/>
      <c r="BT12" s="3505"/>
      <c r="BU12" s="3506"/>
      <c r="BV12" s="3507"/>
      <c r="BW12" s="3508"/>
      <c r="BX12" s="3509"/>
      <c r="BY12" s="3510"/>
      <c r="BZ12" s="367"/>
      <c r="CA12" s="291"/>
      <c r="CC12" s="506"/>
      <c r="CD12" s="506" t="str">
        <f>IF(T12="","",T12)</f>
        <v>Добавить схему подключения</v>
      </c>
      <c r="CE12" s="506"/>
      <c r="CF12" s="506"/>
    </row>
    <row s="3274"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167</v>
      </c>
      <c r="U13" s="1350"/>
      <c r="V13" s="1350"/>
      <c r="W13" s="1350"/>
      <c r="X13" s="1350"/>
      <c r="Y13" s="1350"/>
      <c r="Z13" s="1350"/>
      <c r="AA13" s="1350"/>
      <c r="AB13" s="1350"/>
      <c r="AC13" s="1350"/>
      <c r="AD13" s="1350"/>
      <c r="AE13" s="1350"/>
      <c r="AF13" s="1350"/>
      <c r="AG13" s="1350"/>
      <c r="AH13" s="1350"/>
      <c r="AI13" s="1350"/>
      <c r="AJ13" s="1350"/>
      <c r="AK13" s="1350"/>
      <c r="AL13" s="3511"/>
      <c r="AM13" s="3511"/>
      <c r="AN13" s="3511"/>
      <c r="AO13" s="3511"/>
      <c r="AP13" s="3511"/>
      <c r="AQ13" s="3511"/>
      <c r="AR13" s="3511"/>
      <c r="AS13" s="3511"/>
      <c r="AT13" s="3511"/>
      <c r="AU13" s="3511"/>
      <c r="AV13" s="3511"/>
      <c r="AW13" s="3511"/>
      <c r="AX13" s="3511"/>
      <c r="AY13" s="3511"/>
      <c r="AZ13" s="3511"/>
      <c r="BA13" s="3511"/>
      <c r="BB13" s="3511"/>
      <c r="BC13" s="3511"/>
      <c r="BD13" s="3511"/>
      <c r="BE13" s="3511"/>
      <c r="BF13" s="3511"/>
      <c r="BG13" s="3511"/>
      <c r="BH13" s="3511"/>
      <c r="BI13" s="3511"/>
      <c r="BJ13" s="3511"/>
      <c r="BK13" s="3511"/>
      <c r="BL13" s="3511"/>
      <c r="BM13" s="3511"/>
      <c r="BN13" s="3511"/>
      <c r="BO13" s="3511"/>
      <c r="BP13" s="3511"/>
      <c r="BQ13" s="3511"/>
      <c r="BR13" s="3511"/>
      <c r="BS13" s="3511"/>
      <c r="BT13" s="3511"/>
      <c r="BU13" s="3511"/>
      <c r="BV13" s="3511"/>
      <c r="BW13" s="3511"/>
      <c r="BX13" s="3511"/>
      <c r="BY13" s="3511"/>
      <c r="BZ13" s="1350"/>
      <c r="CA13" s="1350"/>
      <c r="CC13" s="795"/>
      <c r="CD13" s="795" t="str">
        <f>IF(T13="","",T13)</f>
        <v>Добавить источник для дифференциации</v>
      </c>
      <c r="CE13" s="795"/>
      <c r="CF13" s="795"/>
    </row>
    <row s="3274"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168</v>
      </c>
      <c r="U14" s="1354"/>
      <c r="V14" s="1354"/>
      <c r="W14" s="1354"/>
      <c r="X14" s="1354"/>
      <c r="Y14" s="1354"/>
      <c r="Z14" s="1354"/>
      <c r="AA14" s="1354"/>
      <c r="AB14" s="1354"/>
      <c r="AC14" s="1354"/>
      <c r="AD14" s="1354"/>
      <c r="AE14" s="1354"/>
      <c r="AF14" s="1354"/>
      <c r="AG14" s="1354"/>
      <c r="AH14" s="1354"/>
      <c r="AI14" s="1354"/>
      <c r="AJ14" s="1354"/>
      <c r="AK14" s="1354"/>
      <c r="AL14" s="3512"/>
      <c r="AM14" s="3512"/>
      <c r="AN14" s="3512"/>
      <c r="AO14" s="3512"/>
      <c r="AP14" s="3512"/>
      <c r="AQ14" s="3512"/>
      <c r="AR14" s="3512"/>
      <c r="AS14" s="3512"/>
      <c r="AT14" s="3512"/>
      <c r="AU14" s="3512"/>
      <c r="AV14" s="3512"/>
      <c r="AW14" s="3512"/>
      <c r="AX14" s="3512"/>
      <c r="AY14" s="3512"/>
      <c r="AZ14" s="3512"/>
      <c r="BA14" s="3512"/>
      <c r="BB14" s="3512"/>
      <c r="BC14" s="3512"/>
      <c r="BD14" s="3512"/>
      <c r="BE14" s="3512"/>
      <c r="BF14" s="3512"/>
      <c r="BG14" s="3512"/>
      <c r="BH14" s="3512"/>
      <c r="BI14" s="3512"/>
      <c r="BJ14" s="3512"/>
      <c r="BK14" s="3512"/>
      <c r="BL14" s="3512"/>
      <c r="BM14" s="3512"/>
      <c r="BN14" s="3512"/>
      <c r="BO14" s="3512"/>
      <c r="BP14" s="3512"/>
      <c r="BQ14" s="3512"/>
      <c r="BR14" s="3512"/>
      <c r="BS14" s="3512"/>
      <c r="BT14" s="3512"/>
      <c r="BU14" s="3512"/>
      <c r="BV14" s="3512"/>
      <c r="BW14" s="3512"/>
      <c r="BX14" s="3512"/>
      <c r="BY14" s="3512"/>
      <c r="BZ14" s="1354"/>
      <c r="CA14" s="1354"/>
      <c r="CC14" s="795"/>
      <c r="CD14" s="795" t="str">
        <f>IF(T14="","",T14)</f>
        <v>Добавить централизованную систему для дифференциации</v>
      </c>
      <c r="CE14" s="795"/>
      <c r="CF14" s="795"/>
    </row>
    <row s="3274"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169</v>
      </c>
      <c r="U15" s="1354"/>
      <c r="V15" s="1354"/>
      <c r="W15" s="1354"/>
      <c r="X15" s="1354"/>
      <c r="Y15" s="1354"/>
      <c r="Z15" s="1354"/>
      <c r="AA15" s="1354"/>
      <c r="AB15" s="1354"/>
      <c r="AC15" s="1354"/>
      <c r="AD15" s="1354"/>
      <c r="AE15" s="1354"/>
      <c r="AF15" s="1354"/>
      <c r="AG15" s="1354"/>
      <c r="AH15" s="1354"/>
      <c r="AI15" s="1354"/>
      <c r="AJ15" s="1354"/>
      <c r="AK15" s="1354"/>
      <c r="AL15" s="3512"/>
      <c r="AM15" s="3512"/>
      <c r="AN15" s="3512"/>
      <c r="AO15" s="3512"/>
      <c r="AP15" s="3512"/>
      <c r="AQ15" s="3512"/>
      <c r="AR15" s="3512"/>
      <c r="AS15" s="3512"/>
      <c r="AT15" s="3512"/>
      <c r="AU15" s="3512"/>
      <c r="AV15" s="3512"/>
      <c r="AW15" s="3512"/>
      <c r="AX15" s="3512"/>
      <c r="AY15" s="3512"/>
      <c r="AZ15" s="3512"/>
      <c r="BA15" s="3512"/>
      <c r="BB15" s="3512"/>
      <c r="BC15" s="3512"/>
      <c r="BD15" s="3512"/>
      <c r="BE15" s="3512"/>
      <c r="BF15" s="3512"/>
      <c r="BG15" s="3512"/>
      <c r="BH15" s="3512"/>
      <c r="BI15" s="3512"/>
      <c r="BJ15" s="3512"/>
      <c r="BK15" s="3512"/>
      <c r="BL15" s="3512"/>
      <c r="BM15" s="3512"/>
      <c r="BN15" s="3512"/>
      <c r="BO15" s="3512"/>
      <c r="BP15" s="3512"/>
      <c r="BQ15" s="3512"/>
      <c r="BR15" s="3512"/>
      <c r="BS15" s="3512"/>
      <c r="BT15" s="3512"/>
      <c r="BU15" s="3512"/>
      <c r="BV15" s="3512"/>
      <c r="BW15" s="3512"/>
      <c r="BX15" s="3512"/>
      <c r="BY15" s="3512"/>
      <c r="BZ15" s="1354"/>
      <c r="CA15" s="1354"/>
      <c r="CC15" s="795"/>
      <c r="CD15" s="795" t="str">
        <f>IF(T15="","",T15)</f>
        <v>Добавить территорию для дифференциации</v>
      </c>
      <c r="CE15" s="795"/>
      <c r="CF15" s="795"/>
    </row>
    <row customHeight="1" ht="14.25" hidden="1">
      <c r="AC16" s="323"/>
      <c r="AK16" s="323"/>
      <c r="AL16" s="3374"/>
      <c r="AM16" s="3374"/>
      <c r="AN16" s="3374"/>
      <c r="AO16" s="3374"/>
      <c r="AP16" s="3374"/>
      <c r="AQ16" s="3374"/>
      <c r="AR16" s="3374"/>
      <c r="AS16" s="3374"/>
      <c r="AT16" s="3374"/>
      <c r="AU16" s="3374"/>
      <c r="AV16" s="3374"/>
      <c r="AW16" s="3374"/>
      <c r="AX16" s="3374"/>
      <c r="AY16" s="3374"/>
      <c r="AZ16" s="3374"/>
      <c r="BA16" s="3374"/>
      <c r="BB16" s="3374"/>
      <c r="BC16" s="3374"/>
      <c r="BD16" s="3374"/>
      <c r="BE16" s="3374"/>
      <c r="BF16" s="3374"/>
      <c r="BG16" s="3374"/>
      <c r="BH16" s="3374"/>
      <c r="BI16" s="3374"/>
      <c r="BJ16" s="3374"/>
      <c r="BK16" s="3374"/>
      <c r="BL16" s="3374"/>
      <c r="BM16" s="3374"/>
      <c r="BN16" s="3374"/>
      <c r="BO16" s="3374"/>
      <c r="BP16" s="3374"/>
      <c r="BQ16" s="3374"/>
      <c r="BR16" s="3374"/>
      <c r="BS16" s="3374"/>
      <c r="BT16" s="3374"/>
      <c r="BU16" s="3374"/>
      <c r="BV16" s="3374"/>
      <c r="BW16" s="3374"/>
      <c r="BX16" s="3374"/>
      <c r="BY16" s="3374"/>
    </row>
    <row customHeight="1" ht="14.25" hidden="1">
      <c r="AD17" s="1390"/>
      <c r="AE17" s="1390"/>
      <c r="AF17" s="1390"/>
      <c r="AG17" s="1391"/>
      <c r="AH17" s="2105"/>
      <c r="AI17" s="2104" t="s">
        <v>61</v>
      </c>
      <c r="AJ17" s="2105"/>
      <c r="AK17" s="2104" t="s">
        <v>61</v>
      </c>
      <c r="AL17" s="3374"/>
      <c r="AM17" s="3374"/>
      <c r="AN17" s="3374"/>
      <c r="AO17" s="3374"/>
      <c r="AP17" s="3374"/>
      <c r="AQ17" s="3374"/>
      <c r="AR17" s="3374"/>
      <c r="AS17" s="3374"/>
      <c r="AT17" s="3374"/>
      <c r="AU17" s="3374"/>
      <c r="AV17" s="3374"/>
      <c r="AW17" s="3374"/>
      <c r="AX17" s="3374"/>
      <c r="AY17" s="3374"/>
      <c r="AZ17" s="3374"/>
      <c r="BA17" s="3374"/>
      <c r="BB17" s="3374"/>
      <c r="BC17" s="3374"/>
      <c r="BD17" s="3374"/>
      <c r="BE17" s="3374"/>
      <c r="BF17" s="3374"/>
      <c r="BG17" s="3374"/>
      <c r="BH17" s="3374"/>
      <c r="BI17" s="3374"/>
      <c r="BJ17" s="3374"/>
      <c r="BK17" s="3374"/>
      <c r="BL17" s="3374"/>
      <c r="BM17" s="3374"/>
      <c r="BN17" s="3374"/>
      <c r="BO17" s="3374"/>
      <c r="BP17" s="3374"/>
      <c r="BQ17" s="3374"/>
      <c r="BR17" s="3374"/>
      <c r="BS17" s="3374"/>
      <c r="BT17" s="3374"/>
      <c r="BU17" s="3374"/>
      <c r="BV17" s="3374"/>
      <c r="BW17" s="3374"/>
      <c r="BX17" s="3374"/>
      <c r="BY17" s="3374"/>
    </row>
    <row customHeight="1" ht="14.25" hidden="1">
      <c r="AD18" s="1390"/>
      <c r="AE18" s="1390"/>
      <c r="AF18" s="1390"/>
      <c r="AG18" s="324" t="str">
        <f>AH17&amp;"-"&amp;AJ17</f>
        <v>-</v>
      </c>
      <c r="AH18" s="2104"/>
      <c r="AI18" s="2104"/>
      <c r="AJ18" s="2104"/>
      <c r="AK18" s="2104"/>
      <c r="AL18" s="3374"/>
      <c r="AM18" s="3374"/>
      <c r="AN18" s="3374"/>
      <c r="AO18" s="3374"/>
      <c r="AP18" s="3374"/>
      <c r="AQ18" s="3374"/>
      <c r="AR18" s="3374"/>
      <c r="AS18" s="3374"/>
      <c r="AT18" s="3374"/>
      <c r="AU18" s="3374"/>
      <c r="AV18" s="3374"/>
      <c r="AW18" s="3374"/>
      <c r="AX18" s="3374"/>
      <c r="AY18" s="3374"/>
      <c r="AZ18" s="3374"/>
      <c r="BA18" s="3374"/>
      <c r="BB18" s="3374"/>
      <c r="BC18" s="3374"/>
      <c r="BD18" s="3374"/>
      <c r="BE18" s="3374"/>
      <c r="BF18" s="3374"/>
      <c r="BG18" s="3374"/>
      <c r="BH18" s="3374"/>
      <c r="BI18" s="3374"/>
      <c r="BJ18" s="3374"/>
      <c r="BK18" s="3374"/>
      <c r="BL18" s="3374"/>
      <c r="BM18" s="3374"/>
      <c r="BN18" s="3374"/>
      <c r="BO18" s="3374"/>
      <c r="BP18" s="3374"/>
      <c r="BQ18" s="3374"/>
      <c r="BR18" s="3374"/>
      <c r="BS18" s="3374"/>
      <c r="BT18" s="3374"/>
      <c r="BU18" s="3374"/>
      <c r="BV18" s="3374"/>
      <c r="BW18" s="3374"/>
      <c r="BX18" s="3374"/>
      <c r="BY18" s="3374"/>
    </row>
    <row customHeight="1" ht="14.25" hidden="1">
      <c r="AK19" s="323"/>
      <c r="AL19" s="3374"/>
      <c r="AM19" s="3374"/>
      <c r="AN19" s="3374"/>
      <c r="AO19" s="3374"/>
      <c r="AP19" s="3374"/>
      <c r="AQ19" s="3374"/>
      <c r="AR19" s="3374"/>
      <c r="AS19" s="3374"/>
      <c r="AT19" s="3374"/>
      <c r="AU19" s="3374"/>
      <c r="AV19" s="3374"/>
      <c r="AW19" s="3374"/>
      <c r="AX19" s="3374"/>
      <c r="AY19" s="3374"/>
      <c r="AZ19" s="3374"/>
      <c r="BA19" s="3374"/>
      <c r="BB19" s="3374"/>
      <c r="BC19" s="3374"/>
      <c r="BD19" s="3374"/>
      <c r="BE19" s="3374"/>
      <c r="BF19" s="3374"/>
      <c r="BG19" s="3374"/>
      <c r="BH19" s="3374"/>
      <c r="BI19" s="3374"/>
      <c r="BJ19" s="3374"/>
      <c r="BK19" s="3374"/>
      <c r="BL19" s="3374"/>
      <c r="BM19" s="3374"/>
      <c r="BN19" s="3374"/>
      <c r="BO19" s="3374"/>
      <c r="BP19" s="3374"/>
      <c r="BQ19" s="3374"/>
      <c r="BR19" s="3374"/>
      <c r="BS19" s="3374"/>
      <c r="BT19" s="3374"/>
      <c r="BU19" s="3374"/>
      <c r="BV19" s="3374"/>
      <c r="BW19" s="3374"/>
      <c r="BX19" s="3374"/>
      <c r="BY19" s="3374"/>
    </row>
    <row s="3293" customFormat="1" customHeight="1" ht="22.5" hidden="1">
      <c r="L20" s="1359"/>
      <c r="M20" s="1392"/>
      <c r="N20" s="1392"/>
      <c r="O20" s="1397" t="s">
        <v>407</v>
      </c>
      <c r="P20" s="1392"/>
      <c r="Q20" s="1401"/>
      <c r="R20" s="1401"/>
      <c r="S20" s="735"/>
      <c r="Z20" s="1397"/>
      <c r="AB20" s="1397"/>
      <c r="AC20" s="1396"/>
      <c r="AH20" s="1397"/>
      <c r="AJ20" s="1397"/>
      <c r="AK20" s="1396"/>
      <c r="AL20" s="3513"/>
      <c r="AM20" s="3513"/>
      <c r="AN20" s="3513"/>
      <c r="AO20" s="3513"/>
      <c r="AP20" s="3514"/>
      <c r="AQ20" s="3513"/>
      <c r="AR20" s="3514"/>
      <c r="AS20" s="3513"/>
      <c r="AT20" s="3513"/>
      <c r="AU20" s="3513"/>
      <c r="AV20" s="3513"/>
      <c r="AW20" s="3513"/>
      <c r="AX20" s="3514"/>
      <c r="AY20" s="3513"/>
      <c r="AZ20" s="3514"/>
      <c r="BA20" s="3513"/>
      <c r="BB20" s="3513"/>
      <c r="BC20" s="3513"/>
      <c r="BD20" s="3513"/>
      <c r="BE20" s="3513"/>
      <c r="BF20" s="3514"/>
      <c r="BG20" s="3513"/>
      <c r="BH20" s="3514"/>
      <c r="BI20" s="3513"/>
      <c r="BJ20" s="3513"/>
      <c r="BK20" s="3513"/>
      <c r="BL20" s="3513"/>
      <c r="BM20" s="3513"/>
      <c r="BN20" s="3514"/>
      <c r="BO20" s="3513"/>
      <c r="BP20" s="3514"/>
      <c r="BQ20" s="3513"/>
      <c r="BR20" s="3513"/>
      <c r="BS20" s="3513"/>
      <c r="BT20" s="3513"/>
      <c r="BU20" s="3513"/>
      <c r="BV20" s="3514"/>
      <c r="BW20" s="3513"/>
      <c r="BX20" s="3514"/>
      <c r="BY20" s="3513"/>
      <c r="CB20" s="517"/>
      <c r="CC20" s="517"/>
      <c r="CD20" s="517"/>
      <c r="CE20" s="517"/>
      <c r="CF20" s="517"/>
    </row>
    <row s="3293" customFormat="1" customHeight="1" ht="14.25" hidden="1">
      <c r="L21" s="1359"/>
      <c r="M21" s="1392"/>
      <c r="N21" s="1392"/>
      <c r="O21" s="1392"/>
      <c r="P21" s="1392"/>
      <c r="Q21" s="1401"/>
      <c r="R21" s="1401"/>
      <c r="S21" s="735"/>
      <c r="AC21" s="1396"/>
      <c r="AK21" s="1396"/>
      <c r="AL21" s="3513"/>
      <c r="AM21" s="3513"/>
      <c r="AN21" s="3513"/>
      <c r="AO21" s="3513"/>
      <c r="AP21" s="3513"/>
      <c r="AQ21" s="3513"/>
      <c r="AR21" s="3513"/>
      <c r="AS21" s="3513"/>
      <c r="AT21" s="3513"/>
      <c r="AU21" s="3513"/>
      <c r="AV21" s="3513"/>
      <c r="AW21" s="3513"/>
      <c r="AX21" s="3513"/>
      <c r="AY21" s="3513"/>
      <c r="AZ21" s="3513"/>
      <c r="BA21" s="3513"/>
      <c r="BB21" s="3513"/>
      <c r="BC21" s="3513"/>
      <c r="BD21" s="3513"/>
      <c r="BE21" s="3513"/>
      <c r="BF21" s="3513"/>
      <c r="BG21" s="3513"/>
      <c r="BH21" s="3513"/>
      <c r="BI21" s="3513"/>
      <c r="BJ21" s="3513"/>
      <c r="BK21" s="3513"/>
      <c r="BL21" s="3513"/>
      <c r="BM21" s="3513"/>
      <c r="BN21" s="3513"/>
      <c r="BO21" s="3513"/>
      <c r="BP21" s="3513"/>
      <c r="BQ21" s="3513"/>
      <c r="BR21" s="3513"/>
      <c r="BS21" s="3513"/>
      <c r="BT21" s="3513"/>
      <c r="BU21" s="3513"/>
      <c r="BV21" s="3513"/>
      <c r="BW21" s="3513"/>
      <c r="BX21" s="3513"/>
      <c r="BY21" s="3513"/>
      <c r="CB21" s="517"/>
      <c r="CC21" s="517"/>
      <c r="CD21" s="517"/>
      <c r="CE21" s="517"/>
      <c r="CF21" s="517"/>
    </row>
    <row s="3293" customFormat="1" customHeight="1" ht="14.25" hidden="1">
      <c r="L22" s="1359"/>
      <c r="M22" s="1392"/>
      <c r="N22" s="1392"/>
      <c r="O22" s="1394" t="s">
        <v>408</v>
      </c>
      <c r="P22" s="1392"/>
      <c r="Q22" s="1401"/>
      <c r="R22" s="1401"/>
      <c r="S22" s="735"/>
      <c r="T22" s="1168" t="s">
        <v>409</v>
      </c>
      <c r="AA22" s="172" t="s">
        <v>410</v>
      </c>
      <c r="AC22" s="172" t="s">
        <v>411</v>
      </c>
      <c r="AD22" s="1168" t="s">
        <v>409</v>
      </c>
      <c r="AI22" s="172" t="s">
        <v>412</v>
      </c>
      <c r="AK22" s="172" t="s">
        <v>411</v>
      </c>
      <c r="AL22" s="3513"/>
      <c r="AM22" s="3513"/>
      <c r="AN22" s="3513"/>
      <c r="AO22" s="3513"/>
      <c r="AP22" s="3513"/>
      <c r="AQ22" s="3515" t="s">
        <v>410</v>
      </c>
      <c r="AR22" s="3513"/>
      <c r="AS22" s="3515" t="s">
        <v>411</v>
      </c>
      <c r="AT22" s="3513"/>
      <c r="AU22" s="3513"/>
      <c r="AV22" s="3513"/>
      <c r="AW22" s="3513"/>
      <c r="AX22" s="3513"/>
      <c r="AY22" s="3515" t="s">
        <v>410</v>
      </c>
      <c r="AZ22" s="3513"/>
      <c r="BA22" s="3515" t="s">
        <v>411</v>
      </c>
      <c r="BB22" s="3513"/>
      <c r="BC22" s="3513"/>
      <c r="BD22" s="3513"/>
      <c r="BE22" s="3513"/>
      <c r="BF22" s="3513"/>
      <c r="BG22" s="3515" t="s">
        <v>410</v>
      </c>
      <c r="BH22" s="3513"/>
      <c r="BI22" s="3515" t="s">
        <v>411</v>
      </c>
      <c r="BJ22" s="3513"/>
      <c r="BK22" s="3513"/>
      <c r="BL22" s="3513"/>
      <c r="BM22" s="3513"/>
      <c r="BN22" s="3513"/>
      <c r="BO22" s="3515" t="s">
        <v>410</v>
      </c>
      <c r="BP22" s="3513"/>
      <c r="BQ22" s="3515" t="s">
        <v>411</v>
      </c>
      <c r="BR22" s="3513"/>
      <c r="BS22" s="3513"/>
      <c r="BT22" s="3513"/>
      <c r="BU22" s="3513"/>
      <c r="BV22" s="3513"/>
      <c r="BW22" s="3515" t="s">
        <v>410</v>
      </c>
      <c r="BX22" s="3513"/>
      <c r="BY22" s="3515" t="s">
        <v>411</v>
      </c>
      <c r="CB22" s="517"/>
      <c r="CC22" s="517"/>
      <c r="CD22" s="517"/>
      <c r="CE22" s="517"/>
      <c r="CF22" s="517"/>
    </row>
    <row customHeight="1" ht="14.25" hidden="1">
      <c r="O23" s="1394"/>
      <c r="AL23" s="3374"/>
      <c r="AM23" s="3374"/>
      <c r="AN23" s="3374"/>
      <c r="AO23" s="3374"/>
      <c r="AP23" s="3374"/>
      <c r="AQ23" s="3374"/>
      <c r="AR23" s="3374"/>
      <c r="AS23" s="3374"/>
      <c r="AT23" s="3374"/>
      <c r="AU23" s="3374"/>
      <c r="AV23" s="3374"/>
      <c r="AW23" s="3374"/>
      <c r="AX23" s="3374"/>
      <c r="AY23" s="3374"/>
      <c r="AZ23" s="3374"/>
      <c r="BA23" s="3374"/>
      <c r="BB23" s="3374"/>
      <c r="BC23" s="3374"/>
      <c r="BD23" s="3374"/>
      <c r="BE23" s="3374"/>
      <c r="BF23" s="3374"/>
      <c r="BG23" s="3374"/>
      <c r="BH23" s="3374"/>
      <c r="BI23" s="3374"/>
      <c r="BJ23" s="3374"/>
      <c r="BK23" s="3374"/>
      <c r="BL23" s="3374"/>
      <c r="BM23" s="3374"/>
      <c r="BN23" s="3374"/>
      <c r="BO23" s="3374"/>
      <c r="BP23" s="3374"/>
      <c r="BQ23" s="3374"/>
      <c r="BR23" s="3374"/>
      <c r="BS23" s="3374"/>
      <c r="BT23" s="3374"/>
      <c r="BU23" s="3374"/>
      <c r="BV23" s="3374"/>
      <c r="BW23" s="3374"/>
      <c r="BX23" s="3374"/>
      <c r="BY23" s="3374"/>
    </row>
    <row customHeight="1" ht="14.25" hidden="1">
      <c r="O24" s="1394"/>
      <c r="AL24" s="3374"/>
      <c r="AM24" s="3374"/>
      <c r="AN24" s="3374"/>
      <c r="AO24" s="3374"/>
      <c r="AP24" s="3374"/>
      <c r="AQ24" s="3374"/>
      <c r="AR24" s="3374"/>
      <c r="AS24" s="3374"/>
      <c r="AT24" s="3374"/>
      <c r="AU24" s="3374"/>
      <c r="AV24" s="3374"/>
      <c r="AW24" s="3374"/>
      <c r="AX24" s="3374"/>
      <c r="AY24" s="3374"/>
      <c r="AZ24" s="3374"/>
      <c r="BA24" s="3374"/>
      <c r="BB24" s="3374"/>
      <c r="BC24" s="3374"/>
      <c r="BD24" s="3374"/>
      <c r="BE24" s="3374"/>
      <c r="BF24" s="3374"/>
      <c r="BG24" s="3374"/>
      <c r="BH24" s="3374"/>
      <c r="BI24" s="3374"/>
      <c r="BJ24" s="3374"/>
      <c r="BK24" s="3374"/>
      <c r="BL24" s="3374"/>
      <c r="BM24" s="3374"/>
      <c r="BN24" s="3374"/>
      <c r="BO24" s="3374"/>
      <c r="BP24" s="3374"/>
      <c r="BQ24" s="3374"/>
      <c r="BR24" s="3374"/>
      <c r="BS24" s="3374"/>
      <c r="BT24" s="3374"/>
      <c r="BU24" s="3374"/>
      <c r="BV24" s="3374"/>
      <c r="BW24" s="3374"/>
      <c r="BX24" s="3374"/>
      <c r="BY24" s="337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c r="AL25" s="3374"/>
      <c r="AM25" s="3374"/>
      <c r="AN25" s="3374"/>
      <c r="AO25" s="3374"/>
      <c r="AP25" s="3374"/>
      <c r="AQ25" s="3374"/>
      <c r="AR25" s="3374"/>
      <c r="AS25" s="3374"/>
      <c r="AT25" s="3374"/>
      <c r="AU25" s="3374"/>
      <c r="AV25" s="3374"/>
      <c r="AW25" s="3374"/>
      <c r="AX25" s="3374"/>
      <c r="AY25" s="3374"/>
      <c r="AZ25" s="3374"/>
      <c r="BA25" s="3374"/>
      <c r="BB25" s="3374"/>
      <c r="BC25" s="3374"/>
      <c r="BD25" s="3374"/>
      <c r="BE25" s="3374"/>
      <c r="BF25" s="3374"/>
      <c r="BG25" s="3374"/>
      <c r="BH25" s="3374"/>
      <c r="BI25" s="3374"/>
      <c r="BJ25" s="3374"/>
      <c r="BK25" s="3374"/>
      <c r="BL25" s="3374"/>
      <c r="BM25" s="3374"/>
      <c r="BN25" s="3374"/>
      <c r="BO25" s="3374"/>
      <c r="BP25" s="3374"/>
      <c r="BQ25" s="3374"/>
      <c r="BR25" s="3374"/>
      <c r="BS25" s="3374"/>
      <c r="BT25" s="3374"/>
      <c r="BU25" s="3374"/>
      <c r="BV25" s="3374"/>
      <c r="BW25" s="3374"/>
      <c r="BX25" s="3374"/>
      <c r="BY25" s="3374"/>
    </row>
    <row customHeight="1" ht="14.25">
      <c r="Q26" s="377"/>
      <c r="R26" s="377"/>
      <c r="S26" s="214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40"/>
      <c r="U26" s="2140"/>
      <c r="V26" s="2140"/>
      <c r="W26" s="2140"/>
      <c r="X26" s="2140"/>
      <c r="Y26" s="2140"/>
      <c r="Z26" s="2140"/>
      <c r="AA26" s="2140"/>
      <c r="AB26" s="2140"/>
      <c r="AC26" s="2140"/>
      <c r="AD26" s="2140"/>
      <c r="AE26" s="2140"/>
      <c r="AF26" s="2140"/>
      <c r="AG26" s="2140"/>
      <c r="AH26" s="2140"/>
      <c r="AI26" s="2140"/>
      <c r="AJ26" s="2140"/>
      <c r="AK26" s="1261"/>
      <c r="AL26" s="3516"/>
      <c r="AM26" s="3516"/>
      <c r="AN26" s="3516"/>
      <c r="AO26" s="3516"/>
      <c r="AP26" s="3516"/>
      <c r="AQ26" s="3516"/>
      <c r="AR26" s="3516"/>
      <c r="AS26" s="3516"/>
      <c r="AT26" s="3516"/>
      <c r="AU26" s="3516"/>
      <c r="AV26" s="3516"/>
      <c r="AW26" s="3516"/>
      <c r="AX26" s="3516"/>
      <c r="AY26" s="3516"/>
      <c r="AZ26" s="3516"/>
      <c r="BA26" s="3516"/>
      <c r="BB26" s="3516"/>
      <c r="BC26" s="3516"/>
      <c r="BD26" s="3516"/>
      <c r="BE26" s="3516"/>
      <c r="BF26" s="3516"/>
      <c r="BG26" s="3516"/>
      <c r="BH26" s="3516"/>
      <c r="BI26" s="3516"/>
      <c r="BJ26" s="3516"/>
      <c r="BK26" s="3516"/>
      <c r="BL26" s="3516"/>
      <c r="BM26" s="3516"/>
      <c r="BN26" s="3516"/>
      <c r="BO26" s="3516"/>
      <c r="BP26" s="3516"/>
      <c r="BQ26" s="3516"/>
      <c r="BR26" s="3516"/>
      <c r="BS26" s="3516"/>
      <c r="BT26" s="3516"/>
      <c r="BU26" s="3516"/>
      <c r="BV26" s="3516"/>
      <c r="BW26" s="3516"/>
      <c r="BX26" s="3516"/>
      <c r="BY26" s="3516"/>
    </row>
    <row customHeight="1" ht="14.25">
      <c r="Q27" s="377"/>
      <c r="R27" s="377"/>
      <c r="S27" s="2141" t="str">
        <f>IF(org=0,"Не определено",org)</f>
        <v>МУП г. Азова "Теплоэнерго"</v>
      </c>
      <c r="T27" s="2141"/>
      <c r="U27" s="2141"/>
      <c r="V27" s="2141"/>
      <c r="W27" s="2141"/>
      <c r="X27" s="2141"/>
      <c r="Y27" s="2141"/>
      <c r="Z27" s="2141"/>
      <c r="AA27" s="2141"/>
      <c r="AB27" s="2141"/>
      <c r="AC27" s="2141"/>
      <c r="AD27" s="2141"/>
      <c r="AE27" s="2141"/>
      <c r="AF27" s="2141"/>
      <c r="AG27" s="2141"/>
      <c r="AH27" s="2141"/>
      <c r="AI27" s="2141"/>
      <c r="AJ27" s="2141"/>
      <c r="AK27" s="1261"/>
      <c r="AL27" s="3517"/>
      <c r="AM27" s="3517"/>
      <c r="AN27" s="3517"/>
      <c r="AO27" s="3517"/>
      <c r="AP27" s="3517"/>
      <c r="AQ27" s="3517"/>
      <c r="AR27" s="3517"/>
      <c r="AS27" s="3517"/>
      <c r="AT27" s="3517"/>
      <c r="AU27" s="3517"/>
      <c r="AV27" s="3517"/>
      <c r="AW27" s="3517"/>
      <c r="AX27" s="3517"/>
      <c r="AY27" s="3517"/>
      <c r="AZ27" s="3517"/>
      <c r="BA27" s="3517"/>
      <c r="BB27" s="3517"/>
      <c r="BC27" s="3517"/>
      <c r="BD27" s="3517"/>
      <c r="BE27" s="3517"/>
      <c r="BF27" s="3517"/>
      <c r="BG27" s="3517"/>
      <c r="BH27" s="3517"/>
      <c r="BI27" s="3517"/>
      <c r="BJ27" s="3517"/>
      <c r="BK27" s="3517"/>
      <c r="BL27" s="3517"/>
      <c r="BM27" s="3517"/>
      <c r="BN27" s="3517"/>
      <c r="BO27" s="3517"/>
      <c r="BP27" s="3517"/>
      <c r="BQ27" s="3517"/>
      <c r="BR27" s="3517"/>
      <c r="BS27" s="3517"/>
      <c r="BT27" s="3517"/>
      <c r="BU27" s="3517"/>
      <c r="BV27" s="3517"/>
      <c r="BW27" s="3517"/>
      <c r="BX27" s="3517"/>
      <c r="BY27" s="3517"/>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3518"/>
      <c r="AM28" s="3518"/>
      <c r="AN28" s="3518"/>
      <c r="AO28" s="3518"/>
      <c r="AP28" s="3518"/>
      <c r="AQ28" s="3518"/>
      <c r="AR28" s="3518"/>
      <c r="AS28" s="3518"/>
      <c r="AT28" s="3518"/>
      <c r="AU28" s="3518"/>
      <c r="AV28" s="3518"/>
      <c r="AW28" s="3518"/>
      <c r="AX28" s="3518"/>
      <c r="AY28" s="3518"/>
      <c r="AZ28" s="3518"/>
      <c r="BA28" s="3518"/>
      <c r="BB28" s="3518"/>
      <c r="BC28" s="3518"/>
      <c r="BD28" s="3518"/>
      <c r="BE28" s="3518"/>
      <c r="BF28" s="3518"/>
      <c r="BG28" s="3518"/>
      <c r="BH28" s="3518"/>
      <c r="BI28" s="3518"/>
      <c r="BJ28" s="3518"/>
      <c r="BK28" s="3518"/>
      <c r="BL28" s="3518"/>
      <c r="BM28" s="3518"/>
      <c r="BN28" s="3518"/>
      <c r="BO28" s="3518"/>
      <c r="BP28" s="3518"/>
      <c r="BQ28" s="3518"/>
      <c r="BR28" s="3518"/>
      <c r="BS28" s="3518"/>
      <c r="BT28" s="3518"/>
      <c r="BU28" s="3518"/>
      <c r="BV28" s="3518"/>
      <c r="BW28" s="3518"/>
      <c r="BX28" s="3518"/>
      <c r="BY28" s="3518"/>
      <c r="BZ28" s="515"/>
    </row>
    <row s="3306"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Региональная служба по тарифам Ростовской области</v>
      </c>
      <c r="W29" s="2100"/>
      <c r="X29" s="2100"/>
      <c r="Y29" s="2100"/>
      <c r="Z29" s="2100"/>
      <c r="AA29" s="2100"/>
      <c r="AB29" s="2100"/>
      <c r="AC29" s="322"/>
      <c r="AD29" s="2100" t="str">
        <f>IF(TITLE_NAME_OR_PR_CHANGE="",IF(TITLE_NAME_OR_PR="","",TITLE_NAME_OR_PR),TITLE_NAME_OR_PR_CHANGE)</f>
        <v>Региональная служба по тарифам Ростовской области</v>
      </c>
      <c r="AE29" s="2100"/>
      <c r="AF29" s="2100"/>
      <c r="AG29" s="2100"/>
      <c r="AH29" s="2100"/>
      <c r="AI29" s="2100"/>
      <c r="AJ29" s="2100"/>
      <c r="AK29" s="322"/>
      <c r="AL29" s="3519" t="str">
        <f>IF(TITLE_NAME_OR_PR_CHANGE="",IF(TITLE_NAME_OR_PR="","",TITLE_NAME_OR_PR),TITLE_NAME_OR_PR_CHANGE)</f>
        <v>Региональная служба по тарифам Ростовской области</v>
      </c>
      <c r="AM29" s="3519"/>
      <c r="AN29" s="3519"/>
      <c r="AO29" s="3519"/>
      <c r="AP29" s="3519"/>
      <c r="AQ29" s="3519"/>
      <c r="AR29" s="3519"/>
      <c r="AS29" s="3374"/>
      <c r="AT29" s="3519" t="str">
        <f>IF(TITLE_NAME_OR_PR_CHANGE="",IF(TITLE_NAME_OR_PR="","",TITLE_NAME_OR_PR),TITLE_NAME_OR_PR_CHANGE)</f>
        <v>Региональная служба по тарифам Ростовской области</v>
      </c>
      <c r="AU29" s="3519"/>
      <c r="AV29" s="3519"/>
      <c r="AW29" s="3519"/>
      <c r="AX29" s="3519"/>
      <c r="AY29" s="3519"/>
      <c r="AZ29" s="3519"/>
      <c r="BA29" s="3374"/>
      <c r="BB29" s="3519" t="str">
        <f>IF(TITLE_NAME_OR_PR_CHANGE="",IF(TITLE_NAME_OR_PR="","",TITLE_NAME_OR_PR),TITLE_NAME_OR_PR_CHANGE)</f>
        <v>Региональная служба по тарифам Ростовской области</v>
      </c>
      <c r="BC29" s="3519"/>
      <c r="BD29" s="3519"/>
      <c r="BE29" s="3519"/>
      <c r="BF29" s="3519"/>
      <c r="BG29" s="3519"/>
      <c r="BH29" s="3519"/>
      <c r="BI29" s="3374"/>
      <c r="BJ29" s="3519" t="str">
        <f>IF(TITLE_NAME_OR_PR_CHANGE="",IF(TITLE_NAME_OR_PR="","",TITLE_NAME_OR_PR),TITLE_NAME_OR_PR_CHANGE)</f>
        <v>Региональная служба по тарифам Ростовской области</v>
      </c>
      <c r="BK29" s="3519"/>
      <c r="BL29" s="3519"/>
      <c r="BM29" s="3519"/>
      <c r="BN29" s="3519"/>
      <c r="BO29" s="3519"/>
      <c r="BP29" s="3519"/>
      <c r="BQ29" s="3374"/>
      <c r="BR29" s="3519" t="str">
        <f>IF(TITLE_NAME_OR_PR_CHANGE="",IF(TITLE_NAME_OR_PR="","",TITLE_NAME_OR_PR),TITLE_NAME_OR_PR_CHANGE)</f>
        <v>Региональная служба по тарифам Ростовской области</v>
      </c>
      <c r="BS29" s="3519"/>
      <c r="BT29" s="3519"/>
      <c r="BU29" s="3519"/>
      <c r="BV29" s="3519"/>
      <c r="BW29" s="3519"/>
      <c r="BX29" s="3519"/>
      <c r="BY29" s="3374"/>
      <c r="BZ29" s="322"/>
      <c r="CA29" s="268"/>
      <c r="CB29" s="368"/>
      <c r="CC29" s="368"/>
      <c r="CD29" s="368"/>
      <c r="CE29" s="368"/>
      <c r="CF29" s="368"/>
    </row>
    <row s="3306" customFormat="1" customHeight="1" ht="18.75">
      <c r="A30" s="1398"/>
      <c r="B30" s="1398"/>
      <c r="C30" s="1398"/>
      <c r="D30" s="1398"/>
      <c r="E30" s="1398"/>
      <c r="F30" s="1398"/>
      <c r="G30" s="1398"/>
      <c r="H30" s="1398"/>
      <c r="I30" s="1398"/>
      <c r="J30" s="1398"/>
      <c r="K30" s="1398"/>
      <c r="L30" s="1399"/>
      <c r="M30" s="1398"/>
      <c r="N30" s="1398"/>
      <c r="O30" s="1398"/>
      <c r="S30" s="2098" t="s">
        <v>413</v>
      </c>
      <c r="T30" s="2098"/>
      <c r="U30" s="1402"/>
      <c r="V30" s="2099" t="str">
        <f>IF(TITLE_DATE_PR_CHANGE="",IF(TITLE_DATE_PR="","",TITLE_DATE_PR),TITLE_DATE_PR_CHANGE)</f>
        <v>45245.61800925926</v>
      </c>
      <c r="W30" s="2099"/>
      <c r="X30" s="2099"/>
      <c r="Y30" s="2099"/>
      <c r="Z30" s="2099"/>
      <c r="AA30" s="2099"/>
      <c r="AB30" s="2099"/>
      <c r="AC30" s="322"/>
      <c r="AD30" s="2099" t="str">
        <f>IF(TITLE_DATE_PR_CHANGE="",IF(TITLE_DATE_PR="","",TITLE_DATE_PR),TITLE_DATE_PR_CHANGE)</f>
        <v>45245.61800925926</v>
      </c>
      <c r="AE30" s="2099"/>
      <c r="AF30" s="2099"/>
      <c r="AG30" s="2099"/>
      <c r="AH30" s="2099"/>
      <c r="AI30" s="2099"/>
      <c r="AJ30" s="2099"/>
      <c r="AK30" s="322"/>
      <c r="AL30" s="3520" t="str">
        <f>IF(TITLE_DATE_PR_CHANGE="",IF(TITLE_DATE_PR="","",TITLE_DATE_PR),TITLE_DATE_PR_CHANGE)</f>
        <v>45245.61800925926</v>
      </c>
      <c r="AM30" s="3520"/>
      <c r="AN30" s="3520"/>
      <c r="AO30" s="3520"/>
      <c r="AP30" s="3520"/>
      <c r="AQ30" s="3520"/>
      <c r="AR30" s="3520"/>
      <c r="AS30" s="3374"/>
      <c r="AT30" s="3520" t="str">
        <f>IF(TITLE_DATE_PR_CHANGE="",IF(TITLE_DATE_PR="","",TITLE_DATE_PR),TITLE_DATE_PR_CHANGE)</f>
        <v>45245.61800925926</v>
      </c>
      <c r="AU30" s="3520"/>
      <c r="AV30" s="3520"/>
      <c r="AW30" s="3520"/>
      <c r="AX30" s="3520"/>
      <c r="AY30" s="3520"/>
      <c r="AZ30" s="3520"/>
      <c r="BA30" s="3374"/>
      <c r="BB30" s="3520" t="str">
        <f>IF(TITLE_DATE_PR_CHANGE="",IF(TITLE_DATE_PR="","",TITLE_DATE_PR),TITLE_DATE_PR_CHANGE)</f>
        <v>45245.61800925926</v>
      </c>
      <c r="BC30" s="3520"/>
      <c r="BD30" s="3520"/>
      <c r="BE30" s="3520"/>
      <c r="BF30" s="3520"/>
      <c r="BG30" s="3520"/>
      <c r="BH30" s="3520"/>
      <c r="BI30" s="3374"/>
      <c r="BJ30" s="3520" t="str">
        <f>IF(TITLE_DATE_PR_CHANGE="",IF(TITLE_DATE_PR="","",TITLE_DATE_PR),TITLE_DATE_PR_CHANGE)</f>
        <v>45245.61800925926</v>
      </c>
      <c r="BK30" s="3520"/>
      <c r="BL30" s="3520"/>
      <c r="BM30" s="3520"/>
      <c r="BN30" s="3520"/>
      <c r="BO30" s="3520"/>
      <c r="BP30" s="3520"/>
      <c r="BQ30" s="3374"/>
      <c r="BR30" s="3520" t="str">
        <f>IF(TITLE_DATE_PR_CHANGE="",IF(TITLE_DATE_PR="","",TITLE_DATE_PR),TITLE_DATE_PR_CHANGE)</f>
        <v>45245.61800925926</v>
      </c>
      <c r="BS30" s="3520"/>
      <c r="BT30" s="3520"/>
      <c r="BU30" s="3520"/>
      <c r="BV30" s="3520"/>
      <c r="BW30" s="3520"/>
      <c r="BX30" s="3520"/>
      <c r="BY30" s="3374"/>
      <c r="BZ30" s="322"/>
      <c r="CA30" s="268"/>
      <c r="CB30" s="368"/>
      <c r="CC30" s="368"/>
      <c r="CD30" s="368"/>
      <c r="CE30" s="368"/>
      <c r="CF30" s="368"/>
    </row>
    <row s="3306" customFormat="1" customHeight="1" ht="18.75">
      <c r="A31" s="1398"/>
      <c r="B31" s="1398"/>
      <c r="C31" s="1398"/>
      <c r="D31" s="1398"/>
      <c r="E31" s="1398"/>
      <c r="F31" s="1398"/>
      <c r="G31" s="1398"/>
      <c r="H31" s="1398"/>
      <c r="I31" s="1398"/>
      <c r="J31" s="1398"/>
      <c r="K31" s="1398"/>
      <c r="L31" s="1399"/>
      <c r="M31" s="1398"/>
      <c r="N31" s="1398"/>
      <c r="O31" s="1398"/>
      <c r="S31" s="2098" t="s">
        <v>414</v>
      </c>
      <c r="T31" s="2098"/>
      <c r="U31" s="1402"/>
      <c r="V31" s="2100" t="str">
        <f>IF(TITLE_NUMBER_PR_CHANGE="",IF(TITLE_NUMBER_PR="","",TITLE_NUMBER_PR),TITLE_NUMBER_PR_CHANGE)</f>
        <v>550</v>
      </c>
      <c r="W31" s="2100"/>
      <c r="X31" s="2100"/>
      <c r="Y31" s="2100"/>
      <c r="Z31" s="2100"/>
      <c r="AA31" s="2100"/>
      <c r="AB31" s="2100"/>
      <c r="AC31" s="322"/>
      <c r="AD31" s="2100" t="str">
        <f>IF(TITLE_NUMBER_PR_CHANGE="",IF(TITLE_NUMBER_PR="","",TITLE_NUMBER_PR),TITLE_NUMBER_PR_CHANGE)</f>
        <v>550</v>
      </c>
      <c r="AE31" s="2100"/>
      <c r="AF31" s="2100"/>
      <c r="AG31" s="2100"/>
      <c r="AH31" s="2100"/>
      <c r="AI31" s="2100"/>
      <c r="AJ31" s="2100"/>
      <c r="AK31" s="322"/>
      <c r="AL31" s="3519" t="str">
        <f>IF(TITLE_NUMBER_PR_CHANGE="",IF(TITLE_NUMBER_PR="","",TITLE_NUMBER_PR),TITLE_NUMBER_PR_CHANGE)</f>
        <v>550</v>
      </c>
      <c r="AM31" s="3519"/>
      <c r="AN31" s="3519"/>
      <c r="AO31" s="3519"/>
      <c r="AP31" s="3519"/>
      <c r="AQ31" s="3519"/>
      <c r="AR31" s="3519"/>
      <c r="AS31" s="3374"/>
      <c r="AT31" s="3519" t="str">
        <f>IF(TITLE_NUMBER_PR_CHANGE="",IF(TITLE_NUMBER_PR="","",TITLE_NUMBER_PR),TITLE_NUMBER_PR_CHANGE)</f>
        <v>550</v>
      </c>
      <c r="AU31" s="3519"/>
      <c r="AV31" s="3519"/>
      <c r="AW31" s="3519"/>
      <c r="AX31" s="3519"/>
      <c r="AY31" s="3519"/>
      <c r="AZ31" s="3519"/>
      <c r="BA31" s="3374"/>
      <c r="BB31" s="3519" t="str">
        <f>IF(TITLE_NUMBER_PR_CHANGE="",IF(TITLE_NUMBER_PR="","",TITLE_NUMBER_PR),TITLE_NUMBER_PR_CHANGE)</f>
        <v>550</v>
      </c>
      <c r="BC31" s="3519"/>
      <c r="BD31" s="3519"/>
      <c r="BE31" s="3519"/>
      <c r="BF31" s="3519"/>
      <c r="BG31" s="3519"/>
      <c r="BH31" s="3519"/>
      <c r="BI31" s="3374"/>
      <c r="BJ31" s="3519" t="str">
        <f>IF(TITLE_NUMBER_PR_CHANGE="",IF(TITLE_NUMBER_PR="","",TITLE_NUMBER_PR),TITLE_NUMBER_PR_CHANGE)</f>
        <v>550</v>
      </c>
      <c r="BK31" s="3519"/>
      <c r="BL31" s="3519"/>
      <c r="BM31" s="3519"/>
      <c r="BN31" s="3519"/>
      <c r="BO31" s="3519"/>
      <c r="BP31" s="3519"/>
      <c r="BQ31" s="3374"/>
      <c r="BR31" s="3519" t="str">
        <f>IF(TITLE_NUMBER_PR_CHANGE="",IF(TITLE_NUMBER_PR="","",TITLE_NUMBER_PR),TITLE_NUMBER_PR_CHANGE)</f>
        <v>550</v>
      </c>
      <c r="BS31" s="3519"/>
      <c r="BT31" s="3519"/>
      <c r="BU31" s="3519"/>
      <c r="BV31" s="3519"/>
      <c r="BW31" s="3519"/>
      <c r="BX31" s="3519"/>
      <c r="BY31" s="3374"/>
      <c r="BZ31" s="322"/>
      <c r="CA31" s="268"/>
      <c r="CB31" s="368"/>
      <c r="CC31" s="368"/>
      <c r="CD31" s="368"/>
      <c r="CE31" s="368"/>
      <c r="CF31" s="368"/>
    </row>
    <row s="3306"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https://rst.donland.ru</v>
      </c>
      <c r="W32" s="2100"/>
      <c r="X32" s="2100"/>
      <c r="Y32" s="2100"/>
      <c r="Z32" s="2100"/>
      <c r="AA32" s="2100"/>
      <c r="AB32" s="2100"/>
      <c r="AC32" s="322"/>
      <c r="AD32" s="2100" t="str">
        <f>IF(TITLE_IST_PUB_CHANGE="",IF(TITLE_IST_PUB="","",TITLE_IST_PUB),TITLE_IST_PUB_CHANGE)</f>
        <v>https://rst.donland.ru</v>
      </c>
      <c r="AE32" s="2100"/>
      <c r="AF32" s="2100"/>
      <c r="AG32" s="2100"/>
      <c r="AH32" s="2100"/>
      <c r="AI32" s="2100"/>
      <c r="AJ32" s="2100"/>
      <c r="AK32" s="322"/>
      <c r="AL32" s="3519" t="str">
        <f>IF(TITLE_IST_PUB_CHANGE="",IF(TITLE_IST_PUB="","",TITLE_IST_PUB),TITLE_IST_PUB_CHANGE)</f>
        <v>https://rst.donland.ru</v>
      </c>
      <c r="AM32" s="3519"/>
      <c r="AN32" s="3519"/>
      <c r="AO32" s="3519"/>
      <c r="AP32" s="3519"/>
      <c r="AQ32" s="3519"/>
      <c r="AR32" s="3519"/>
      <c r="AS32" s="3374"/>
      <c r="AT32" s="3519" t="str">
        <f>IF(TITLE_IST_PUB_CHANGE="",IF(TITLE_IST_PUB="","",TITLE_IST_PUB),TITLE_IST_PUB_CHANGE)</f>
        <v>https://rst.donland.ru</v>
      </c>
      <c r="AU32" s="3519"/>
      <c r="AV32" s="3519"/>
      <c r="AW32" s="3519"/>
      <c r="AX32" s="3519"/>
      <c r="AY32" s="3519"/>
      <c r="AZ32" s="3519"/>
      <c r="BA32" s="3374"/>
      <c r="BB32" s="3519" t="str">
        <f>IF(TITLE_IST_PUB_CHANGE="",IF(TITLE_IST_PUB="","",TITLE_IST_PUB),TITLE_IST_PUB_CHANGE)</f>
        <v>https://rst.donland.ru</v>
      </c>
      <c r="BC32" s="3519"/>
      <c r="BD32" s="3519"/>
      <c r="BE32" s="3519"/>
      <c r="BF32" s="3519"/>
      <c r="BG32" s="3519"/>
      <c r="BH32" s="3519"/>
      <c r="BI32" s="3374"/>
      <c r="BJ32" s="3519" t="str">
        <f>IF(TITLE_IST_PUB_CHANGE="",IF(TITLE_IST_PUB="","",TITLE_IST_PUB),TITLE_IST_PUB_CHANGE)</f>
        <v>https://rst.donland.ru</v>
      </c>
      <c r="BK32" s="3519"/>
      <c r="BL32" s="3519"/>
      <c r="BM32" s="3519"/>
      <c r="BN32" s="3519"/>
      <c r="BO32" s="3519"/>
      <c r="BP32" s="3519"/>
      <c r="BQ32" s="3374"/>
      <c r="BR32" s="3519" t="str">
        <f>IF(TITLE_IST_PUB_CHANGE="",IF(TITLE_IST_PUB="","",TITLE_IST_PUB),TITLE_IST_PUB_CHANGE)</f>
        <v>https://rst.donland.ru</v>
      </c>
      <c r="BS32" s="3519"/>
      <c r="BT32" s="3519"/>
      <c r="BU32" s="3519"/>
      <c r="BV32" s="3519"/>
      <c r="BW32" s="3519"/>
      <c r="BX32" s="3519"/>
      <c r="BY32" s="3374"/>
      <c r="BZ32" s="322"/>
      <c r="CA32" s="268"/>
      <c r="CB32" s="368"/>
      <c r="CC32" s="368"/>
      <c r="CD32" s="368"/>
      <c r="CE32" s="368"/>
      <c r="CF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3518"/>
      <c r="AM33" s="3518"/>
      <c r="AN33" s="3518"/>
      <c r="AO33" s="3518"/>
      <c r="AP33" s="3518"/>
      <c r="AQ33" s="3518"/>
      <c r="AR33" s="3518"/>
      <c r="AS33" s="3518"/>
      <c r="AT33" s="3518"/>
      <c r="AU33" s="3518"/>
      <c r="AV33" s="3518"/>
      <c r="AW33" s="3518"/>
      <c r="AX33" s="3518"/>
      <c r="AY33" s="3518"/>
      <c r="AZ33" s="3518"/>
      <c r="BA33" s="3518"/>
      <c r="BB33" s="3518"/>
      <c r="BC33" s="3518"/>
      <c r="BD33" s="3518"/>
      <c r="BE33" s="3518"/>
      <c r="BF33" s="3518"/>
      <c r="BG33" s="3518"/>
      <c r="BH33" s="3518"/>
      <c r="BI33" s="3518"/>
      <c r="BJ33" s="3518"/>
      <c r="BK33" s="3518"/>
      <c r="BL33" s="3518"/>
      <c r="BM33" s="3518"/>
      <c r="BN33" s="3518"/>
      <c r="BO33" s="3518"/>
      <c r="BP33" s="3518"/>
      <c r="BQ33" s="3518"/>
      <c r="BR33" s="3518"/>
      <c r="BS33" s="3518"/>
      <c r="BT33" s="3518"/>
      <c r="BU33" s="3518"/>
      <c r="BV33" s="3518"/>
      <c r="BW33" s="3518"/>
      <c r="BX33" s="3518"/>
      <c r="BY33" s="3518"/>
      <c r="BZ33" s="515"/>
    </row>
    <row s="3306" customFormat="1" customHeight="1" ht="18.75" hidden="1">
      <c r="A34" s="1398"/>
      <c r="B34" s="1398"/>
      <c r="C34" s="1398"/>
      <c r="D34" s="1398"/>
      <c r="E34" s="1398"/>
      <c r="F34" s="1398"/>
      <c r="G34" s="1398"/>
      <c r="H34" s="1398"/>
      <c r="I34" s="1398"/>
      <c r="J34" s="1398"/>
      <c r="K34" s="1398"/>
      <c r="L34" s="1399"/>
      <c r="M34" s="1398"/>
      <c r="N34" s="1398"/>
      <c r="O34" s="1398"/>
      <c r="S34" s="2098" t="s">
        <v>415</v>
      </c>
      <c r="T34" s="2098"/>
      <c r="U34" s="1402"/>
      <c r="V34" s="2099" t="str">
        <f>IF(TITLE_DATE_PR_CHANGE="",IF(TITLE_DATE_PR="","",TITLE_DATE_PR),TITLE_DATE_PR_CHANGE)</f>
        <v>45245.61800925926</v>
      </c>
      <c r="W34" s="2099"/>
      <c r="X34" s="2099"/>
      <c r="Y34" s="2099"/>
      <c r="Z34" s="2099"/>
      <c r="AA34" s="2099"/>
      <c r="AB34" s="2099"/>
      <c r="AC34" s="322"/>
      <c r="AD34" s="2099" t="str">
        <f>IF(TITLE_DATE_PR_CHANGE="",IF(TITLE_DATE_PR="","",TITLE_DATE_PR),TITLE_DATE_PR_CHANGE)</f>
        <v>45245.61800925926</v>
      </c>
      <c r="AE34" s="2099"/>
      <c r="AF34" s="2099"/>
      <c r="AG34" s="2099"/>
      <c r="AH34" s="2099"/>
      <c r="AI34" s="2099"/>
      <c r="AJ34" s="2099"/>
      <c r="AK34" s="322"/>
      <c r="AL34" s="3520" t="str">
        <f>IF(TITLE_DATE_PR_CHANGE="",IF(TITLE_DATE_PR="","",TITLE_DATE_PR),TITLE_DATE_PR_CHANGE)</f>
        <v>45245.61800925926</v>
      </c>
      <c r="AM34" s="3520"/>
      <c r="AN34" s="3520"/>
      <c r="AO34" s="3520"/>
      <c r="AP34" s="3520"/>
      <c r="AQ34" s="3520"/>
      <c r="AR34" s="3520"/>
      <c r="AS34" s="3374"/>
      <c r="AT34" s="3520" t="str">
        <f>IF(TITLE_DATE_PR_CHANGE="",IF(TITLE_DATE_PR="","",TITLE_DATE_PR),TITLE_DATE_PR_CHANGE)</f>
        <v>45245.61800925926</v>
      </c>
      <c r="AU34" s="3520"/>
      <c r="AV34" s="3520"/>
      <c r="AW34" s="3520"/>
      <c r="AX34" s="3520"/>
      <c r="AY34" s="3520"/>
      <c r="AZ34" s="3520"/>
      <c r="BA34" s="3374"/>
      <c r="BB34" s="3520" t="str">
        <f>IF(TITLE_DATE_PR_CHANGE="",IF(TITLE_DATE_PR="","",TITLE_DATE_PR),TITLE_DATE_PR_CHANGE)</f>
        <v>45245.61800925926</v>
      </c>
      <c r="BC34" s="3520"/>
      <c r="BD34" s="3520"/>
      <c r="BE34" s="3520"/>
      <c r="BF34" s="3520"/>
      <c r="BG34" s="3520"/>
      <c r="BH34" s="3520"/>
      <c r="BI34" s="3374"/>
      <c r="BJ34" s="3520" t="str">
        <f>IF(TITLE_DATE_PR_CHANGE="",IF(TITLE_DATE_PR="","",TITLE_DATE_PR),TITLE_DATE_PR_CHANGE)</f>
        <v>45245.61800925926</v>
      </c>
      <c r="BK34" s="3520"/>
      <c r="BL34" s="3520"/>
      <c r="BM34" s="3520"/>
      <c r="BN34" s="3520"/>
      <c r="BO34" s="3520"/>
      <c r="BP34" s="3520"/>
      <c r="BQ34" s="3374"/>
      <c r="BR34" s="3520" t="str">
        <f>IF(TITLE_DATE_PR_CHANGE="",IF(TITLE_DATE_PR="","",TITLE_DATE_PR),TITLE_DATE_PR_CHANGE)</f>
        <v>45245.61800925926</v>
      </c>
      <c r="BS34" s="3520"/>
      <c r="BT34" s="3520"/>
      <c r="BU34" s="3520"/>
      <c r="BV34" s="3520"/>
      <c r="BW34" s="3520"/>
      <c r="BX34" s="3520"/>
      <c r="BY34" s="3374"/>
      <c r="BZ34" s="322"/>
      <c r="CA34" s="268"/>
      <c r="CB34" s="368"/>
      <c r="CC34" s="368"/>
      <c r="CD34" s="368"/>
      <c r="CE34" s="368"/>
      <c r="CF34" s="368"/>
    </row>
    <row s="3306" customFormat="1" customHeight="1" ht="18.75" hidden="1">
      <c r="A35" s="1398"/>
      <c r="B35" s="1398"/>
      <c r="C35" s="1398"/>
      <c r="D35" s="1398"/>
      <c r="E35" s="1398"/>
      <c r="F35" s="1398"/>
      <c r="G35" s="1398"/>
      <c r="H35" s="1398"/>
      <c r="I35" s="1398"/>
      <c r="J35" s="1398"/>
      <c r="K35" s="1398"/>
      <c r="L35" s="1399"/>
      <c r="M35" s="1398"/>
      <c r="N35" s="1398"/>
      <c r="O35" s="1398"/>
      <c r="S35" s="2098" t="s">
        <v>416</v>
      </c>
      <c r="T35" s="2098"/>
      <c r="U35" s="1402"/>
      <c r="V35" s="2100" t="str">
        <f>IF(TITLE_NUMBER_PR_CHANGE="",IF(TITLE_NUMBER_PR="","",TITLE_NUMBER_PR),TITLE_NUMBER_PR_CHANGE)</f>
        <v>550</v>
      </c>
      <c r="W35" s="2100"/>
      <c r="X35" s="2100"/>
      <c r="Y35" s="2100"/>
      <c r="Z35" s="2100"/>
      <c r="AA35" s="2100"/>
      <c r="AB35" s="2100"/>
      <c r="AC35" s="322"/>
      <c r="AD35" s="2100" t="str">
        <f>IF(TITLE_NUMBER_PR_CHANGE="",IF(TITLE_NUMBER_PR="","",TITLE_NUMBER_PR),TITLE_NUMBER_PR_CHANGE)</f>
        <v>550</v>
      </c>
      <c r="AE35" s="2100"/>
      <c r="AF35" s="2100"/>
      <c r="AG35" s="2100"/>
      <c r="AH35" s="2100"/>
      <c r="AI35" s="2100"/>
      <c r="AJ35" s="2100"/>
      <c r="AK35" s="322"/>
      <c r="AL35" s="3519" t="str">
        <f>IF(TITLE_NUMBER_PR_CHANGE="",IF(TITLE_NUMBER_PR="","",TITLE_NUMBER_PR),TITLE_NUMBER_PR_CHANGE)</f>
        <v>550</v>
      </c>
      <c r="AM35" s="3519"/>
      <c r="AN35" s="3519"/>
      <c r="AO35" s="3519"/>
      <c r="AP35" s="3519"/>
      <c r="AQ35" s="3519"/>
      <c r="AR35" s="3519"/>
      <c r="AS35" s="3374"/>
      <c r="AT35" s="3519" t="str">
        <f>IF(TITLE_NUMBER_PR_CHANGE="",IF(TITLE_NUMBER_PR="","",TITLE_NUMBER_PR),TITLE_NUMBER_PR_CHANGE)</f>
        <v>550</v>
      </c>
      <c r="AU35" s="3519"/>
      <c r="AV35" s="3519"/>
      <c r="AW35" s="3519"/>
      <c r="AX35" s="3519"/>
      <c r="AY35" s="3519"/>
      <c r="AZ35" s="3519"/>
      <c r="BA35" s="3374"/>
      <c r="BB35" s="3519" t="str">
        <f>IF(TITLE_NUMBER_PR_CHANGE="",IF(TITLE_NUMBER_PR="","",TITLE_NUMBER_PR),TITLE_NUMBER_PR_CHANGE)</f>
        <v>550</v>
      </c>
      <c r="BC35" s="3519"/>
      <c r="BD35" s="3519"/>
      <c r="BE35" s="3519"/>
      <c r="BF35" s="3519"/>
      <c r="BG35" s="3519"/>
      <c r="BH35" s="3519"/>
      <c r="BI35" s="3374"/>
      <c r="BJ35" s="3519" t="str">
        <f>IF(TITLE_NUMBER_PR_CHANGE="",IF(TITLE_NUMBER_PR="","",TITLE_NUMBER_PR),TITLE_NUMBER_PR_CHANGE)</f>
        <v>550</v>
      </c>
      <c r="BK35" s="3519"/>
      <c r="BL35" s="3519"/>
      <c r="BM35" s="3519"/>
      <c r="BN35" s="3519"/>
      <c r="BO35" s="3519"/>
      <c r="BP35" s="3519"/>
      <c r="BQ35" s="3374"/>
      <c r="BR35" s="3519" t="str">
        <f>IF(TITLE_NUMBER_PR_CHANGE="",IF(TITLE_NUMBER_PR="","",TITLE_NUMBER_PR),TITLE_NUMBER_PR_CHANGE)</f>
        <v>550</v>
      </c>
      <c r="BS35" s="3519"/>
      <c r="BT35" s="3519"/>
      <c r="BU35" s="3519"/>
      <c r="BV35" s="3519"/>
      <c r="BW35" s="3519"/>
      <c r="BX35" s="3519"/>
      <c r="BY35" s="3374"/>
      <c r="BZ35" s="322"/>
      <c r="CA35" s="268"/>
      <c r="CB35" s="368"/>
      <c r="CC35" s="368"/>
      <c r="CD35" s="368"/>
      <c r="CE35" s="368"/>
      <c r="CF35" s="368"/>
    </row>
    <row s="3306"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417</v>
      </c>
      <c r="AD36" s="322"/>
      <c r="AE36" s="322"/>
      <c r="AF36" s="322"/>
      <c r="AG36" s="322"/>
      <c r="AH36" s="322"/>
      <c r="AI36" s="322"/>
      <c r="AJ36" s="322"/>
      <c r="AK36" s="266" t="s">
        <v>417</v>
      </c>
      <c r="AL36" s="3374"/>
      <c r="AM36" s="3374"/>
      <c r="AN36" s="3374"/>
      <c r="AO36" s="3374"/>
      <c r="AP36" s="3374"/>
      <c r="AQ36" s="3374"/>
      <c r="AR36" s="3374"/>
      <c r="AS36" s="3522" t="s">
        <v>417</v>
      </c>
      <c r="AT36" s="3374"/>
      <c r="AU36" s="3374"/>
      <c r="AV36" s="3374"/>
      <c r="AW36" s="3374"/>
      <c r="AX36" s="3374"/>
      <c r="AY36" s="3374"/>
      <c r="AZ36" s="3374"/>
      <c r="BA36" s="3522" t="s">
        <v>417</v>
      </c>
      <c r="BB36" s="3374"/>
      <c r="BC36" s="3374"/>
      <c r="BD36" s="3374"/>
      <c r="BE36" s="3374"/>
      <c r="BF36" s="3374"/>
      <c r="BG36" s="3374"/>
      <c r="BH36" s="3374"/>
      <c r="BI36" s="3522" t="s">
        <v>417</v>
      </c>
      <c r="BJ36" s="3374"/>
      <c r="BK36" s="3374"/>
      <c r="BL36" s="3374"/>
      <c r="BM36" s="3374"/>
      <c r="BN36" s="3374"/>
      <c r="BO36" s="3374"/>
      <c r="BP36" s="3374"/>
      <c r="BQ36" s="3522" t="s">
        <v>417</v>
      </c>
      <c r="BR36" s="3374"/>
      <c r="BS36" s="3374"/>
      <c r="BT36" s="3374"/>
      <c r="BU36" s="3374"/>
      <c r="BV36" s="3374"/>
      <c r="BW36" s="3374"/>
      <c r="BX36" s="3374"/>
      <c r="BY36" s="3522" t="s">
        <v>417</v>
      </c>
      <c r="CB36" s="368"/>
      <c r="CC36" s="368"/>
      <c r="CD36" s="368"/>
      <c r="CE36" s="368"/>
      <c r="CF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c r="AL37" s="3523" t="s">
        <v>438</v>
      </c>
      <c r="AM37" s="3523"/>
      <c r="AN37" s="3523"/>
      <c r="AO37" s="3523"/>
      <c r="AP37" s="3523"/>
      <c r="AQ37" s="3523"/>
      <c r="AR37" s="3523"/>
      <c r="AS37" s="3523"/>
      <c r="AT37" s="3523" t="s">
        <v>438</v>
      </c>
      <c r="AU37" s="3523"/>
      <c r="AV37" s="3523"/>
      <c r="AW37" s="3523"/>
      <c r="AX37" s="3523"/>
      <c r="AY37" s="3523"/>
      <c r="AZ37" s="3523"/>
      <c r="BA37" s="3523"/>
      <c r="BB37" s="3523" t="s">
        <v>438</v>
      </c>
      <c r="BC37" s="3523"/>
      <c r="BD37" s="3523"/>
      <c r="BE37" s="3523"/>
      <c r="BF37" s="3523"/>
      <c r="BG37" s="3523"/>
      <c r="BH37" s="3523"/>
      <c r="BI37" s="3523"/>
      <c r="BJ37" s="3523" t="s">
        <v>438</v>
      </c>
      <c r="BK37" s="3523"/>
      <c r="BL37" s="3523"/>
      <c r="BM37" s="3523"/>
      <c r="BN37" s="3523"/>
      <c r="BO37" s="3523"/>
      <c r="BP37" s="3523"/>
      <c r="BQ37" s="3523"/>
      <c r="BR37" s="3523" t="s">
        <v>438</v>
      </c>
      <c r="BS37" s="3523"/>
      <c r="BT37" s="3523"/>
      <c r="BU37" s="3523"/>
      <c r="BV37" s="3523"/>
      <c r="BW37" s="3523"/>
      <c r="BX37" s="3523"/>
      <c r="BY37" s="3523"/>
    </row>
    <row customHeight="1" ht="14.25">
      <c r="Q38" s="377"/>
      <c r="R38" s="377"/>
      <c r="S38" s="1971" t="s">
        <v>291</v>
      </c>
      <c r="T38" s="1971"/>
      <c r="U38" s="1971"/>
      <c r="V38" s="1971"/>
      <c r="W38" s="1971"/>
      <c r="X38" s="1971"/>
      <c r="Y38" s="1971"/>
      <c r="Z38" s="1971"/>
      <c r="AA38" s="1971"/>
      <c r="AB38" s="1971"/>
      <c r="AC38" s="1971"/>
      <c r="AD38" s="1971"/>
      <c r="AE38" s="1971"/>
      <c r="AF38" s="1971"/>
      <c r="AG38" s="1971"/>
      <c r="AH38" s="1971"/>
      <c r="AI38" s="1971"/>
      <c r="AJ38" s="1971"/>
      <c r="AK38" s="1971"/>
      <c r="AL38" s="3524" t="s">
        <v>291</v>
      </c>
      <c r="AM38" s="3524"/>
      <c r="AN38" s="3524"/>
      <c r="AO38" s="3524"/>
      <c r="AP38" s="3524"/>
      <c r="AQ38" s="3524"/>
      <c r="AR38" s="3524"/>
      <c r="AS38" s="3524"/>
      <c r="AT38" s="3524" t="s">
        <v>291</v>
      </c>
      <c r="AU38" s="3524"/>
      <c r="AV38" s="3524"/>
      <c r="AW38" s="3524"/>
      <c r="AX38" s="3524"/>
      <c r="AY38" s="3524"/>
      <c r="AZ38" s="3524"/>
      <c r="BA38" s="3524"/>
      <c r="BB38" s="3524" t="s">
        <v>291</v>
      </c>
      <c r="BC38" s="3524"/>
      <c r="BD38" s="3524"/>
      <c r="BE38" s="3524"/>
      <c r="BF38" s="3524"/>
      <c r="BG38" s="3524"/>
      <c r="BH38" s="3524"/>
      <c r="BI38" s="3524"/>
      <c r="BJ38" s="3524" t="s">
        <v>291</v>
      </c>
      <c r="BK38" s="3524"/>
      <c r="BL38" s="3524"/>
      <c r="BM38" s="3524"/>
      <c r="BN38" s="3524"/>
      <c r="BO38" s="3524"/>
      <c r="BP38" s="3524"/>
      <c r="BQ38" s="3524"/>
      <c r="BR38" s="3524" t="s">
        <v>291</v>
      </c>
      <c r="BS38" s="3524"/>
      <c r="BT38" s="3524"/>
      <c r="BU38" s="3524"/>
      <c r="BV38" s="3524"/>
      <c r="BW38" s="3524"/>
      <c r="BX38" s="3524"/>
      <c r="BY38" s="3524"/>
      <c r="BZ38" s="1971"/>
      <c r="CA38" s="1971"/>
    </row>
    <row customHeight="1" ht="14.25">
      <c r="Q39" s="377"/>
      <c r="R39" s="377"/>
      <c r="S39" s="2125" t="s">
        <v>87</v>
      </c>
      <c r="T39" s="2062" t="s">
        <v>418</v>
      </c>
      <c r="U39" s="289"/>
      <c r="V39" s="2126" t="s">
        <v>419</v>
      </c>
      <c r="W39" s="2127"/>
      <c r="X39" s="2127"/>
      <c r="Y39" s="2127"/>
      <c r="Z39" s="2127"/>
      <c r="AA39" s="2127"/>
      <c r="AB39" s="2128"/>
      <c r="AC39" s="2129" t="s">
        <v>420</v>
      </c>
      <c r="AD39" s="2126" t="s">
        <v>419</v>
      </c>
      <c r="AE39" s="2127"/>
      <c r="AF39" s="2127"/>
      <c r="AG39" s="2127"/>
      <c r="AH39" s="2127"/>
      <c r="AI39" s="2127"/>
      <c r="AJ39" s="2128"/>
      <c r="AK39" s="2129" t="s">
        <v>421</v>
      </c>
      <c r="AL39" s="3525" t="s">
        <v>419</v>
      </c>
      <c r="AM39" s="3526"/>
      <c r="AN39" s="3526"/>
      <c r="AO39" s="3526"/>
      <c r="AP39" s="3526"/>
      <c r="AQ39" s="3526"/>
      <c r="AR39" s="3527"/>
      <c r="AS39" s="3528" t="s">
        <v>420</v>
      </c>
      <c r="AT39" s="3525" t="s">
        <v>419</v>
      </c>
      <c r="AU39" s="3526"/>
      <c r="AV39" s="3526"/>
      <c r="AW39" s="3526"/>
      <c r="AX39" s="3526"/>
      <c r="AY39" s="3526"/>
      <c r="AZ39" s="3527"/>
      <c r="BA39" s="3528" t="s">
        <v>420</v>
      </c>
      <c r="BB39" s="3525" t="s">
        <v>419</v>
      </c>
      <c r="BC39" s="3526"/>
      <c r="BD39" s="3526"/>
      <c r="BE39" s="3526"/>
      <c r="BF39" s="3526"/>
      <c r="BG39" s="3526"/>
      <c r="BH39" s="3527"/>
      <c r="BI39" s="3528" t="s">
        <v>420</v>
      </c>
      <c r="BJ39" s="3525" t="s">
        <v>419</v>
      </c>
      <c r="BK39" s="3526"/>
      <c r="BL39" s="3526"/>
      <c r="BM39" s="3526"/>
      <c r="BN39" s="3526"/>
      <c r="BO39" s="3526"/>
      <c r="BP39" s="3527"/>
      <c r="BQ39" s="3528" t="s">
        <v>420</v>
      </c>
      <c r="BR39" s="3525" t="s">
        <v>419</v>
      </c>
      <c r="BS39" s="3526"/>
      <c r="BT39" s="3526"/>
      <c r="BU39" s="3526"/>
      <c r="BV39" s="3526"/>
      <c r="BW39" s="3526"/>
      <c r="BX39" s="3527"/>
      <c r="BY39" s="3528" t="s">
        <v>420</v>
      </c>
      <c r="BZ39" s="2132" t="s">
        <v>422</v>
      </c>
      <c r="CA39" s="1971"/>
    </row>
    <row customHeight="1" ht="33.75">
      <c r="Q40" s="377"/>
      <c r="R40" s="377"/>
      <c r="S40" s="2125"/>
      <c r="T40" s="2062"/>
      <c r="U40" s="1038"/>
      <c r="V40" s="2135" t="s">
        <v>423</v>
      </c>
      <c r="W40" s="2116" t="s">
        <v>424</v>
      </c>
      <c r="X40" s="2118" t="s">
        <v>425</v>
      </c>
      <c r="Y40" s="2120"/>
      <c r="Z40" s="2118" t="s">
        <v>439</v>
      </c>
      <c r="AA40" s="2119"/>
      <c r="AB40" s="2120"/>
      <c r="AC40" s="2130"/>
      <c r="AD40" s="2135" t="s">
        <v>423</v>
      </c>
      <c r="AE40" s="2116" t="s">
        <v>424</v>
      </c>
      <c r="AF40" s="2118" t="s">
        <v>425</v>
      </c>
      <c r="AG40" s="2120"/>
      <c r="AH40" s="2118" t="s">
        <v>426</v>
      </c>
      <c r="AI40" s="2119"/>
      <c r="AJ40" s="2120"/>
      <c r="AK40" s="2130"/>
      <c r="AL40" s="3529" t="s">
        <v>423</v>
      </c>
      <c r="AM40" s="3530" t="s">
        <v>424</v>
      </c>
      <c r="AN40" s="3531" t="s">
        <v>425</v>
      </c>
      <c r="AO40" s="3532"/>
      <c r="AP40" s="3531" t="s">
        <v>439</v>
      </c>
      <c r="AQ40" s="3533"/>
      <c r="AR40" s="3532"/>
      <c r="AS40" s="3534"/>
      <c r="AT40" s="3529" t="s">
        <v>423</v>
      </c>
      <c r="AU40" s="3530" t="s">
        <v>424</v>
      </c>
      <c r="AV40" s="3531" t="s">
        <v>425</v>
      </c>
      <c r="AW40" s="3532"/>
      <c r="AX40" s="3531" t="s">
        <v>439</v>
      </c>
      <c r="AY40" s="3533"/>
      <c r="AZ40" s="3532"/>
      <c r="BA40" s="3534"/>
      <c r="BB40" s="3529" t="s">
        <v>423</v>
      </c>
      <c r="BC40" s="3530" t="s">
        <v>424</v>
      </c>
      <c r="BD40" s="3531" t="s">
        <v>425</v>
      </c>
      <c r="BE40" s="3532"/>
      <c r="BF40" s="3531" t="s">
        <v>439</v>
      </c>
      <c r="BG40" s="3533"/>
      <c r="BH40" s="3532"/>
      <c r="BI40" s="3534"/>
      <c r="BJ40" s="3529" t="s">
        <v>423</v>
      </c>
      <c r="BK40" s="3530" t="s">
        <v>424</v>
      </c>
      <c r="BL40" s="3531" t="s">
        <v>425</v>
      </c>
      <c r="BM40" s="3532"/>
      <c r="BN40" s="3531" t="s">
        <v>439</v>
      </c>
      <c r="BO40" s="3533"/>
      <c r="BP40" s="3532"/>
      <c r="BQ40" s="3534"/>
      <c r="BR40" s="3529" t="s">
        <v>423</v>
      </c>
      <c r="BS40" s="3530" t="s">
        <v>424</v>
      </c>
      <c r="BT40" s="3531" t="s">
        <v>425</v>
      </c>
      <c r="BU40" s="3532"/>
      <c r="BV40" s="3531" t="s">
        <v>439</v>
      </c>
      <c r="BW40" s="3533"/>
      <c r="BX40" s="3532"/>
      <c r="BY40" s="3534"/>
      <c r="BZ40" s="2133"/>
      <c r="CA40" s="1971"/>
    </row>
    <row customHeight="1" ht="65.83333333333333">
      <c r="A41" s="1400"/>
      <c r="B41" s="1400" t="s">
        <v>134</v>
      </c>
      <c r="C41" s="1400" t="s">
        <v>135</v>
      </c>
      <c r="D41" s="1400" t="s">
        <v>136</v>
      </c>
      <c r="E41" s="1394" t="s">
        <v>427</v>
      </c>
      <c r="F41" s="1394" t="s">
        <v>428</v>
      </c>
      <c r="G41" s="1394" t="s">
        <v>429</v>
      </c>
      <c r="H41" s="1394" t="s">
        <v>430</v>
      </c>
      <c r="I41" s="1394" t="s">
        <v>431</v>
      </c>
      <c r="J41" s="1394" t="s">
        <v>432</v>
      </c>
      <c r="K41" s="1394" t="s">
        <v>433</v>
      </c>
      <c r="L41" s="1394" t="s">
        <v>408</v>
      </c>
      <c r="Q41" s="377"/>
      <c r="R41" s="377"/>
      <c r="S41" s="2125"/>
      <c r="T41" s="2062"/>
      <c r="U41" s="290"/>
      <c r="V41" s="2136"/>
      <c r="W41" s="2117"/>
      <c r="X41" s="1237" t="s">
        <v>434</v>
      </c>
      <c r="Y41" s="1237" t="s">
        <v>435</v>
      </c>
      <c r="Z41" s="1368" t="s">
        <v>436</v>
      </c>
      <c r="AA41" s="2121" t="s">
        <v>437</v>
      </c>
      <c r="AB41" s="2122"/>
      <c r="AC41" s="2131"/>
      <c r="AD41" s="2136"/>
      <c r="AE41" s="2117"/>
      <c r="AF41" s="1237" t="s">
        <v>434</v>
      </c>
      <c r="AG41" s="1237" t="s">
        <v>435</v>
      </c>
      <c r="AH41" s="1368" t="s">
        <v>436</v>
      </c>
      <c r="AI41" s="2121" t="s">
        <v>437</v>
      </c>
      <c r="AJ41" s="2122"/>
      <c r="AK41" s="2131"/>
      <c r="AL41" s="3536"/>
      <c r="AM41" s="3537"/>
      <c r="AN41" s="3538" t="s">
        <v>434</v>
      </c>
      <c r="AO41" s="3538" t="s">
        <v>435</v>
      </c>
      <c r="AP41" s="3538" t="s">
        <v>436</v>
      </c>
      <c r="AQ41" s="3539" t="s">
        <v>437</v>
      </c>
      <c r="AR41" s="3540"/>
      <c r="AS41" s="3541"/>
      <c r="AT41" s="3536"/>
      <c r="AU41" s="3537"/>
      <c r="AV41" s="3538" t="s">
        <v>434</v>
      </c>
      <c r="AW41" s="3538" t="s">
        <v>435</v>
      </c>
      <c r="AX41" s="3538" t="s">
        <v>436</v>
      </c>
      <c r="AY41" s="3539" t="s">
        <v>437</v>
      </c>
      <c r="AZ41" s="3540"/>
      <c r="BA41" s="3541"/>
      <c r="BB41" s="3536"/>
      <c r="BC41" s="3537"/>
      <c r="BD41" s="3538" t="s">
        <v>434</v>
      </c>
      <c r="BE41" s="3538" t="s">
        <v>435</v>
      </c>
      <c r="BF41" s="3538" t="s">
        <v>436</v>
      </c>
      <c r="BG41" s="3539" t="s">
        <v>437</v>
      </c>
      <c r="BH41" s="3540"/>
      <c r="BI41" s="3541"/>
      <c r="BJ41" s="3536"/>
      <c r="BK41" s="3537"/>
      <c r="BL41" s="3538" t="s">
        <v>434</v>
      </c>
      <c r="BM41" s="3538" t="s">
        <v>435</v>
      </c>
      <c r="BN41" s="3538" t="s">
        <v>436</v>
      </c>
      <c r="BO41" s="3539" t="s">
        <v>437</v>
      </c>
      <c r="BP41" s="3540"/>
      <c r="BQ41" s="3541"/>
      <c r="BR41" s="3536"/>
      <c r="BS41" s="3537"/>
      <c r="BT41" s="3538" t="s">
        <v>434</v>
      </c>
      <c r="BU41" s="3538" t="s">
        <v>435</v>
      </c>
      <c r="BV41" s="3538" t="s">
        <v>436</v>
      </c>
      <c r="BW41" s="3539" t="s">
        <v>437</v>
      </c>
      <c r="BX41" s="3540"/>
      <c r="BY41" s="3541"/>
      <c r="BZ41" s="2134"/>
      <c r="CA41" s="1971"/>
    </row>
    <row s="2611"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108</v>
      </c>
      <c r="T42" s="1281" t="s">
        <v>109</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3543">
        <f>OFFSET(AL42,0,-1)+1</f>
        <v>3</v>
      </c>
      <c r="AM42" s="3543"/>
      <c r="AN42" s="3543">
        <f>OFFSET(AN42,0,-1)+1</f>
        <v>1</v>
      </c>
      <c r="AO42" s="3543">
        <f>OFFSET(AO42,0,-1)+1</f>
        <v>2</v>
      </c>
      <c r="AP42" s="3543">
        <f>OFFSET(AP42,0,-1)+1</f>
        <v>3</v>
      </c>
      <c r="AQ42" s="3543">
        <f>OFFSET(AQ42,0,-1)+1</f>
        <v>4</v>
      </c>
      <c r="AR42" s="3543"/>
      <c r="AS42" s="3543">
        <f>OFFSET(AS42,0,-2)+1</f>
        <v>5</v>
      </c>
      <c r="AT42" s="3543">
        <f>OFFSET(AT42,0,-1)+1</f>
        <v>3</v>
      </c>
      <c r="AU42" s="3543"/>
      <c r="AV42" s="3543">
        <f>OFFSET(AV42,0,-1)+1</f>
        <v>1</v>
      </c>
      <c r="AW42" s="3543">
        <f>OFFSET(AW42,0,-1)+1</f>
        <v>2</v>
      </c>
      <c r="AX42" s="3543">
        <f>OFFSET(AX42,0,-1)+1</f>
        <v>3</v>
      </c>
      <c r="AY42" s="3543">
        <f>OFFSET(AY42,0,-1)+1</f>
        <v>4</v>
      </c>
      <c r="AZ42" s="3543"/>
      <c r="BA42" s="3543">
        <f>OFFSET(BA42,0,-2)+1</f>
        <v>5</v>
      </c>
      <c r="BB42" s="3543">
        <f>OFFSET(BB42,0,-1)+1</f>
        <v>3</v>
      </c>
      <c r="BC42" s="3543"/>
      <c r="BD42" s="3543">
        <f>OFFSET(BD42,0,-1)+1</f>
        <v>1</v>
      </c>
      <c r="BE42" s="3543">
        <f>OFFSET(BE42,0,-1)+1</f>
        <v>2</v>
      </c>
      <c r="BF42" s="3543">
        <f>OFFSET(BF42,0,-1)+1</f>
        <v>3</v>
      </c>
      <c r="BG42" s="3543">
        <f>OFFSET(BG42,0,-1)+1</f>
        <v>4</v>
      </c>
      <c r="BH42" s="3543"/>
      <c r="BI42" s="3543">
        <f>OFFSET(BI42,0,-2)+1</f>
        <v>5</v>
      </c>
      <c r="BJ42" s="3543">
        <f>OFFSET(BJ42,0,-1)+1</f>
        <v>3</v>
      </c>
      <c r="BK42" s="3543"/>
      <c r="BL42" s="3543">
        <f>OFFSET(BL42,0,-1)+1</f>
        <v>1</v>
      </c>
      <c r="BM42" s="3543">
        <f>OFFSET(BM42,0,-1)+1</f>
        <v>2</v>
      </c>
      <c r="BN42" s="3543">
        <f>OFFSET(BN42,0,-1)+1</f>
        <v>3</v>
      </c>
      <c r="BO42" s="3543">
        <f>OFFSET(BO42,0,-1)+1</f>
        <v>4</v>
      </c>
      <c r="BP42" s="3543"/>
      <c r="BQ42" s="3543">
        <f>OFFSET(BQ42,0,-2)+1</f>
        <v>5</v>
      </c>
      <c r="BR42" s="3543">
        <f>OFFSET(BR42,0,-1)+1</f>
        <v>3</v>
      </c>
      <c r="BS42" s="3543"/>
      <c r="BT42" s="3543">
        <f>OFFSET(BT42,0,-1)+1</f>
        <v>1</v>
      </c>
      <c r="BU42" s="3543">
        <f>OFFSET(BU42,0,-1)+1</f>
        <v>2</v>
      </c>
      <c r="BV42" s="3543">
        <f>OFFSET(BV42,0,-1)+1</f>
        <v>3</v>
      </c>
      <c r="BW42" s="3543">
        <f>OFFSET(BW42,0,-1)+1</f>
        <v>4</v>
      </c>
      <c r="BX42" s="3543"/>
      <c r="BY42" s="3543">
        <f>OFFSET(BY42,0,-2)+1</f>
        <v>5</v>
      </c>
      <c r="BZ42" s="1263">
        <f>OFFSET(BZ42,0,-1)</f>
        <v>5</v>
      </c>
      <c r="CA42" s="1365">
        <f>OFFSET(CA42,0,-1)+1</f>
        <v>6</v>
      </c>
      <c r="CB42" s="517"/>
      <c r="CC42" s="517"/>
      <c r="CD42" s="517"/>
      <c r="CE42" s="517"/>
      <c r="CF42" s="517"/>
    </row>
    <row customHeight="1" ht="21">
      <c r="A43" s="1393" t="s">
        <v>163</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1</v>
      </c>
      <c r="T43" s="286" t="s">
        <v>122</v>
      </c>
      <c r="U43" s="288"/>
      <c r="V43" s="2101"/>
      <c r="W43" s="2102"/>
      <c r="X43" s="2102"/>
      <c r="Y43" s="2102"/>
      <c r="Z43" s="2102"/>
      <c r="AA43" s="2102"/>
      <c r="AB43" s="2102"/>
      <c r="AC43" s="2103"/>
      <c r="AD43" s="2101" t="str">
        <f>INDEX(PT_DIFFERENTIATION_NTAR,MATCH(A43,PT_DIFFERENTIATION_NTAR_ID,0))</f>
        <v>Тариф на тепловую энергию</v>
      </c>
      <c r="AE43" s="2102"/>
      <c r="AF43" s="2102"/>
      <c r="AG43" s="2102"/>
      <c r="AH43" s="2102"/>
      <c r="AI43" s="2102"/>
      <c r="AJ43" s="2102"/>
      <c r="AK43" s="2102"/>
      <c r="AL43" s="3376"/>
      <c r="AM43" s="3377"/>
      <c r="AN43" s="3377"/>
      <c r="AO43" s="3377"/>
      <c r="AP43" s="3377"/>
      <c r="AQ43" s="3377"/>
      <c r="AR43" s="3377"/>
      <c r="AS43" s="3378"/>
      <c r="AT43" s="3376"/>
      <c r="AU43" s="3377"/>
      <c r="AV43" s="3377"/>
      <c r="AW43" s="3377"/>
      <c r="AX43" s="3377"/>
      <c r="AY43" s="3377"/>
      <c r="AZ43" s="3377"/>
      <c r="BA43" s="3378"/>
      <c r="BB43" s="3376"/>
      <c r="BC43" s="3377"/>
      <c r="BD43" s="3377"/>
      <c r="BE43" s="3377"/>
      <c r="BF43" s="3377"/>
      <c r="BG43" s="3377"/>
      <c r="BH43" s="3377"/>
      <c r="BI43" s="3378"/>
      <c r="BJ43" s="3376"/>
      <c r="BK43" s="3377"/>
      <c r="BL43" s="3377"/>
      <c r="BM43" s="3377"/>
      <c r="BN43" s="3377"/>
      <c r="BO43" s="3377"/>
      <c r="BP43" s="3377"/>
      <c r="BQ43" s="3378"/>
      <c r="BR43" s="3376"/>
      <c r="BS43" s="3377"/>
      <c r="BT43" s="3377"/>
      <c r="BU43" s="3377"/>
      <c r="BV43" s="3377"/>
      <c r="BW43" s="3377"/>
      <c r="BX43" s="3377"/>
      <c r="BY43" s="3378"/>
      <c r="BZ43" s="2103"/>
      <c r="CA43" s="12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CC43" s="506"/>
      <c r="CD43" s="506" t="str">
        <f>IF(T43="","",T43)</f>
        <v>Наименование тарифа</v>
      </c>
      <c r="CE43" s="506"/>
      <c r="CF43" s="506"/>
    </row>
    <row customHeight="1" ht="21">
      <c r="A44" s="1393" t="s">
        <v>163</v>
      </c>
      <c r="B44" s="1393" t="s">
        <v>164</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1.1</v>
      </c>
      <c r="T44" s="298" t="s">
        <v>390</v>
      </c>
      <c r="U44" s="288"/>
      <c r="V44" s="2101"/>
      <c r="W44" s="2102"/>
      <c r="X44" s="2102"/>
      <c r="Y44" s="2102"/>
      <c r="Z44" s="2102"/>
      <c r="AA44" s="2102"/>
      <c r="AB44" s="2102"/>
      <c r="AC44" s="2103"/>
      <c r="AD44" s="2101" t="str">
        <f>INDEX(PT_DIFFERENTIATION_TER,MATCH(B44,PT_DIFFERENTIATION_TER_ID,0))</f>
        <v>Территория 1</v>
      </c>
      <c r="AE44" s="2102"/>
      <c r="AF44" s="2102"/>
      <c r="AG44" s="2102"/>
      <c r="AH44" s="2102"/>
      <c r="AI44" s="2102"/>
      <c r="AJ44" s="2102"/>
      <c r="AK44" s="2102"/>
      <c r="AL44" s="3376"/>
      <c r="AM44" s="3377"/>
      <c r="AN44" s="3377"/>
      <c r="AO44" s="3377"/>
      <c r="AP44" s="3377"/>
      <c r="AQ44" s="3377"/>
      <c r="AR44" s="3377"/>
      <c r="AS44" s="3378"/>
      <c r="AT44" s="3376"/>
      <c r="AU44" s="3377"/>
      <c r="AV44" s="3377"/>
      <c r="AW44" s="3377"/>
      <c r="AX44" s="3377"/>
      <c r="AY44" s="3377"/>
      <c r="AZ44" s="3377"/>
      <c r="BA44" s="3378"/>
      <c r="BB44" s="3376"/>
      <c r="BC44" s="3377"/>
      <c r="BD44" s="3377"/>
      <c r="BE44" s="3377"/>
      <c r="BF44" s="3377"/>
      <c r="BG44" s="3377"/>
      <c r="BH44" s="3377"/>
      <c r="BI44" s="3378"/>
      <c r="BJ44" s="3376"/>
      <c r="BK44" s="3377"/>
      <c r="BL44" s="3377"/>
      <c r="BM44" s="3377"/>
      <c r="BN44" s="3377"/>
      <c r="BO44" s="3377"/>
      <c r="BP44" s="3377"/>
      <c r="BQ44" s="3378"/>
      <c r="BR44" s="3376"/>
      <c r="BS44" s="3377"/>
      <c r="BT44" s="3377"/>
      <c r="BU44" s="3377"/>
      <c r="BV44" s="3377"/>
      <c r="BW44" s="3377"/>
      <c r="BX44" s="3377"/>
      <c r="BY44" s="3378"/>
      <c r="BZ44" s="2103"/>
      <c r="CA44" s="1286" t="s">
        <v>391</v>
      </c>
      <c r="CC44" s="506"/>
      <c r="CD44" s="506" t="str">
        <f>IF(T44="","",T44)</f>
        <v>Территория действия тарифа</v>
      </c>
      <c r="CE44" s="506"/>
      <c r="CF44" s="506"/>
    </row>
    <row customHeight="1" ht="23.25">
      <c r="A45" s="1393" t="s">
        <v>163</v>
      </c>
      <c r="B45" s="1393" t="s">
        <v>164</v>
      </c>
      <c r="C45" s="1393" t="s">
        <v>165</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1.1.1</v>
      </c>
      <c r="T45" s="299" t="s">
        <v>392</v>
      </c>
      <c r="U45" s="288"/>
      <c r="V45" s="2101"/>
      <c r="W45" s="2102"/>
      <c r="X45" s="2102"/>
      <c r="Y45" s="2102"/>
      <c r="Z45" s="2102"/>
      <c r="AA45" s="2102"/>
      <c r="AB45" s="2102"/>
      <c r="AC45" s="2103"/>
      <c r="AD45" s="2101" t="str">
        <f>INDEX(PT_DIFFERENTIATION_CS,MATCH(C45,PT_DIFFERENTIATION_CS_ID,0))</f>
        <v>без дифференциации</v>
      </c>
      <c r="AE45" s="2102"/>
      <c r="AF45" s="2102"/>
      <c r="AG45" s="2102"/>
      <c r="AH45" s="2102"/>
      <c r="AI45" s="2102"/>
      <c r="AJ45" s="2102"/>
      <c r="AK45" s="2102"/>
      <c r="AL45" s="3376"/>
      <c r="AM45" s="3377"/>
      <c r="AN45" s="3377"/>
      <c r="AO45" s="3377"/>
      <c r="AP45" s="3377"/>
      <c r="AQ45" s="3377"/>
      <c r="AR45" s="3377"/>
      <c r="AS45" s="3378"/>
      <c r="AT45" s="3376"/>
      <c r="AU45" s="3377"/>
      <c r="AV45" s="3377"/>
      <c r="AW45" s="3377"/>
      <c r="AX45" s="3377"/>
      <c r="AY45" s="3377"/>
      <c r="AZ45" s="3377"/>
      <c r="BA45" s="3378"/>
      <c r="BB45" s="3376"/>
      <c r="BC45" s="3377"/>
      <c r="BD45" s="3377"/>
      <c r="BE45" s="3377"/>
      <c r="BF45" s="3377"/>
      <c r="BG45" s="3377"/>
      <c r="BH45" s="3377"/>
      <c r="BI45" s="3378"/>
      <c r="BJ45" s="3376"/>
      <c r="BK45" s="3377"/>
      <c r="BL45" s="3377"/>
      <c r="BM45" s="3377"/>
      <c r="BN45" s="3377"/>
      <c r="BO45" s="3377"/>
      <c r="BP45" s="3377"/>
      <c r="BQ45" s="3378"/>
      <c r="BR45" s="3376"/>
      <c r="BS45" s="3377"/>
      <c r="BT45" s="3377"/>
      <c r="BU45" s="3377"/>
      <c r="BV45" s="3377"/>
      <c r="BW45" s="3377"/>
      <c r="BX45" s="3377"/>
      <c r="BY45" s="3378"/>
      <c r="BZ45" s="2103"/>
      <c r="CA45" s="1286" t="s">
        <v>393</v>
      </c>
      <c r="CC45" s="506"/>
      <c r="CD45" s="506" t="str">
        <f>IF(T45="","",T45)</f>
        <v>Наименование системы теплоснабжения </v>
      </c>
      <c r="CE45" s="506"/>
      <c r="CF45" s="506"/>
    </row>
    <row customHeight="1" ht="21">
      <c r="A46" s="1393" t="s">
        <v>163</v>
      </c>
      <c r="B46" s="1393" t="s">
        <v>164</v>
      </c>
      <c r="C46" s="1393" t="s">
        <v>165</v>
      </c>
      <c r="D46" s="1393" t="s">
        <v>166</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1.1.1.1</v>
      </c>
      <c r="T46" s="300" t="s">
        <v>394</v>
      </c>
      <c r="U46" s="288"/>
      <c r="V46" s="2101"/>
      <c r="W46" s="2102"/>
      <c r="X46" s="2102"/>
      <c r="Y46" s="2102"/>
      <c r="Z46" s="2102"/>
      <c r="AA46" s="2102"/>
      <c r="AB46" s="2102"/>
      <c r="AC46" s="2103"/>
      <c r="AD46" s="2101" t="str">
        <f>INDEX(PT_DIFFERENTIATION_IST_TE,MATCH(D46,PT_DIFFERENTIATION_IST_TE_ID,0))</f>
        <v>без дифференциации</v>
      </c>
      <c r="AE46" s="2102"/>
      <c r="AF46" s="2102"/>
      <c r="AG46" s="2102"/>
      <c r="AH46" s="2102"/>
      <c r="AI46" s="2102"/>
      <c r="AJ46" s="2102"/>
      <c r="AK46" s="2102"/>
      <c r="AL46" s="3376"/>
      <c r="AM46" s="3377"/>
      <c r="AN46" s="3377"/>
      <c r="AO46" s="3377"/>
      <c r="AP46" s="3377"/>
      <c r="AQ46" s="3377"/>
      <c r="AR46" s="3377"/>
      <c r="AS46" s="3378"/>
      <c r="AT46" s="3376"/>
      <c r="AU46" s="3377"/>
      <c r="AV46" s="3377"/>
      <c r="AW46" s="3377"/>
      <c r="AX46" s="3377"/>
      <c r="AY46" s="3377"/>
      <c r="AZ46" s="3377"/>
      <c r="BA46" s="3378"/>
      <c r="BB46" s="3376"/>
      <c r="BC46" s="3377"/>
      <c r="BD46" s="3377"/>
      <c r="BE46" s="3377"/>
      <c r="BF46" s="3377"/>
      <c r="BG46" s="3377"/>
      <c r="BH46" s="3377"/>
      <c r="BI46" s="3378"/>
      <c r="BJ46" s="3376"/>
      <c r="BK46" s="3377"/>
      <c r="BL46" s="3377"/>
      <c r="BM46" s="3377"/>
      <c r="BN46" s="3377"/>
      <c r="BO46" s="3377"/>
      <c r="BP46" s="3377"/>
      <c r="BQ46" s="3378"/>
      <c r="BR46" s="3376"/>
      <c r="BS46" s="3377"/>
      <c r="BT46" s="3377"/>
      <c r="BU46" s="3377"/>
      <c r="BV46" s="3377"/>
      <c r="BW46" s="3377"/>
      <c r="BX46" s="3377"/>
      <c r="BY46" s="3378"/>
      <c r="BZ46" s="2103"/>
      <c r="CA46" s="1286" t="s">
        <v>395</v>
      </c>
      <c r="CC46" s="506"/>
      <c r="CD46" s="506" t="str">
        <f>IF(T46="","",T46)</f>
        <v>Источник тепловой энергии  </v>
      </c>
      <c r="CE46" s="506"/>
      <c r="CF46" s="506"/>
    </row>
    <row customHeight="1" ht="47.25">
      <c r="A47" s="1393" t="s">
        <v>163</v>
      </c>
      <c r="B47" s="1393" t="s">
        <v>164</v>
      </c>
      <c r="C47" s="1393" t="s">
        <v>165</v>
      </c>
      <c r="D47" s="1393" t="s">
        <v>166</v>
      </c>
      <c r="E47" s="2108"/>
      <c r="F47" s="2108"/>
      <c r="G47" s="2108"/>
      <c r="H47" s="2108"/>
      <c r="I47" s="2109" t="str">
        <f>S46&amp;".1"</f>
        <v>1.1.1.1.1</v>
      </c>
      <c r="J47" s="1393"/>
      <c r="K47" s="1393"/>
      <c r="L47" s="1394" t="s">
        <v>396</v>
      </c>
      <c r="P47" s="2111">
        <v>1</v>
      </c>
      <c r="Q47" s="1361"/>
      <c r="R47" s="352"/>
      <c r="S47" s="1366" t="str">
        <f>$I47</f>
        <v>1.1.1.1.1</v>
      </c>
      <c r="T47" s="273" t="s">
        <v>397</v>
      </c>
      <c r="U47" s="288"/>
      <c r="V47" s="2095"/>
      <c r="W47" s="2096"/>
      <c r="X47" s="2096"/>
      <c r="Y47" s="2096"/>
      <c r="Z47" s="2096"/>
      <c r="AA47" s="2096"/>
      <c r="AB47" s="2096"/>
      <c r="AC47" s="2097"/>
      <c r="AD47" s="2095" t="s">
        <v>440</v>
      </c>
      <c r="AE47" s="2096"/>
      <c r="AF47" s="2096"/>
      <c r="AG47" s="2096"/>
      <c r="AH47" s="2096"/>
      <c r="AI47" s="2096"/>
      <c r="AJ47" s="2096"/>
      <c r="AK47" s="2096"/>
      <c r="AL47" s="3381"/>
      <c r="AM47" s="3382"/>
      <c r="AN47" s="3382"/>
      <c r="AO47" s="3382"/>
      <c r="AP47" s="3382"/>
      <c r="AQ47" s="3382"/>
      <c r="AR47" s="3382"/>
      <c r="AS47" s="3383"/>
      <c r="AT47" s="3381"/>
      <c r="AU47" s="3382"/>
      <c r="AV47" s="3382"/>
      <c r="AW47" s="3382"/>
      <c r="AX47" s="3382"/>
      <c r="AY47" s="3382"/>
      <c r="AZ47" s="3382"/>
      <c r="BA47" s="3383"/>
      <c r="BB47" s="3381"/>
      <c r="BC47" s="3382"/>
      <c r="BD47" s="3382"/>
      <c r="BE47" s="3382"/>
      <c r="BF47" s="3382"/>
      <c r="BG47" s="3382"/>
      <c r="BH47" s="3382"/>
      <c r="BI47" s="3383"/>
      <c r="BJ47" s="3381"/>
      <c r="BK47" s="3382"/>
      <c r="BL47" s="3382"/>
      <c r="BM47" s="3382"/>
      <c r="BN47" s="3382"/>
      <c r="BO47" s="3382"/>
      <c r="BP47" s="3382"/>
      <c r="BQ47" s="3383"/>
      <c r="BR47" s="3381"/>
      <c r="BS47" s="3382"/>
      <c r="BT47" s="3382"/>
      <c r="BU47" s="3382"/>
      <c r="BV47" s="3382"/>
      <c r="BW47" s="3382"/>
      <c r="BX47" s="3382"/>
      <c r="BY47" s="3383"/>
      <c r="BZ47" s="2097"/>
      <c r="CA47" s="1286" t="s">
        <v>398</v>
      </c>
      <c r="CC47" s="506"/>
      <c r="CD47" s="506" t="str">
        <f>IF(T47="","",T47)</f>
        <v>Схема подключения теплопотребляющей установки к коллектору источника тепловой энергии</v>
      </c>
      <c r="CE47" s="506"/>
      <c r="CF47" s="506"/>
    </row>
    <row customHeight="1" ht="21">
      <c r="A48" s="1393" t="s">
        <v>163</v>
      </c>
      <c r="B48" s="1393" t="s">
        <v>164</v>
      </c>
      <c r="C48" s="1393" t="s">
        <v>165</v>
      </c>
      <c r="D48" s="1393" t="s">
        <v>166</v>
      </c>
      <c r="E48" s="2108"/>
      <c r="F48" s="2108"/>
      <c r="G48" s="2108"/>
      <c r="H48" s="2108"/>
      <c r="I48" s="2110"/>
      <c r="J48" s="2109" t="str">
        <f>I47&amp;".1"</f>
        <v>1.1.1.1.1.1</v>
      </c>
      <c r="K48" s="1393"/>
      <c r="L48" s="1394" t="s">
        <v>399</v>
      </c>
      <c r="P48" s="2111"/>
      <c r="Q48" s="2111">
        <v>1</v>
      </c>
      <c r="R48" s="353"/>
      <c r="S48" s="1366" t="str">
        <f>$J48</f>
        <v>1.1.1.1.1.1</v>
      </c>
      <c r="T48" s="274" t="s">
        <v>400</v>
      </c>
      <c r="U48" s="288"/>
      <c r="V48" s="2095"/>
      <c r="W48" s="2096"/>
      <c r="X48" s="2096"/>
      <c r="Y48" s="2096"/>
      <c r="Z48" s="2096"/>
      <c r="AA48" s="2096"/>
      <c r="AB48" s="2096"/>
      <c r="AC48" s="2097"/>
      <c r="AD48" s="2095" t="s">
        <v>441</v>
      </c>
      <c r="AE48" s="2096"/>
      <c r="AF48" s="2096"/>
      <c r="AG48" s="2096"/>
      <c r="AH48" s="2096"/>
      <c r="AI48" s="2096"/>
      <c r="AJ48" s="2096"/>
      <c r="AK48" s="2096"/>
      <c r="AL48" s="3381"/>
      <c r="AM48" s="3382"/>
      <c r="AN48" s="3382"/>
      <c r="AO48" s="3382"/>
      <c r="AP48" s="3382"/>
      <c r="AQ48" s="3382"/>
      <c r="AR48" s="3382"/>
      <c r="AS48" s="3383"/>
      <c r="AT48" s="3381"/>
      <c r="AU48" s="3382"/>
      <c r="AV48" s="3382"/>
      <c r="AW48" s="3382"/>
      <c r="AX48" s="3382"/>
      <c r="AY48" s="3382"/>
      <c r="AZ48" s="3382"/>
      <c r="BA48" s="3383"/>
      <c r="BB48" s="3381"/>
      <c r="BC48" s="3382"/>
      <c r="BD48" s="3382"/>
      <c r="BE48" s="3382"/>
      <c r="BF48" s="3382"/>
      <c r="BG48" s="3382"/>
      <c r="BH48" s="3382"/>
      <c r="BI48" s="3383"/>
      <c r="BJ48" s="3381"/>
      <c r="BK48" s="3382"/>
      <c r="BL48" s="3382"/>
      <c r="BM48" s="3382"/>
      <c r="BN48" s="3382"/>
      <c r="BO48" s="3382"/>
      <c r="BP48" s="3382"/>
      <c r="BQ48" s="3383"/>
      <c r="BR48" s="3381"/>
      <c r="BS48" s="3382"/>
      <c r="BT48" s="3382"/>
      <c r="BU48" s="3382"/>
      <c r="BV48" s="3382"/>
      <c r="BW48" s="3382"/>
      <c r="BX48" s="3382"/>
      <c r="BY48" s="3383"/>
      <c r="BZ48" s="2097"/>
      <c r="CA48" s="1286" t="s">
        <v>401</v>
      </c>
      <c r="CC48" s="506"/>
      <c r="CD48" s="506" t="str">
        <f>IF(T48="","",T48)</f>
        <v>Группа потребителей</v>
      </c>
      <c r="CE48" s="506"/>
      <c r="CF48" s="506"/>
    </row>
    <row customHeight="1" ht="21">
      <c r="A49" s="1393" t="s">
        <v>163</v>
      </c>
      <c r="B49" s="1393" t="s">
        <v>164</v>
      </c>
      <c r="C49" s="1393" t="s">
        <v>165</v>
      </c>
      <c r="D49" s="1393" t="s">
        <v>166</v>
      </c>
      <c r="E49" s="2108"/>
      <c r="F49" s="2108"/>
      <c r="G49" s="2108"/>
      <c r="H49" s="2108"/>
      <c r="I49" s="2110"/>
      <c r="J49" s="2110"/>
      <c r="K49" s="2109" t="str">
        <f>J48&amp;".1"</f>
        <v>1.1.1.1.1.1.1</v>
      </c>
      <c r="L49" s="1394" t="s">
        <v>402</v>
      </c>
      <c r="P49" s="2111"/>
      <c r="Q49" s="2111"/>
      <c r="R49" s="353">
        <v>1</v>
      </c>
      <c r="S49" s="1366" t="str">
        <f>$K49</f>
        <v>1.1.1.1.1.1.1</v>
      </c>
      <c r="T49" s="1377" t="s">
        <v>442</v>
      </c>
      <c r="U49" s="288"/>
      <c r="V49" s="757"/>
      <c r="W49" s="320"/>
      <c r="X49" s="757"/>
      <c r="Y49" s="1285"/>
      <c r="Z49" s="2112"/>
      <c r="AA49" s="1981" t="s">
        <v>61</v>
      </c>
      <c r="AB49" s="2112"/>
      <c r="AC49" s="1981" t="s">
        <v>61</v>
      </c>
      <c r="AD49" s="757">
        <v>2776.79</v>
      </c>
      <c r="AE49" s="320"/>
      <c r="AF49" s="757"/>
      <c r="AG49" s="1285"/>
      <c r="AH49" s="3387">
        <v>45292.62304398148</v>
      </c>
      <c r="AI49" s="1981" t="s">
        <v>61</v>
      </c>
      <c r="AJ49" s="3544">
        <v>45473.62326388889</v>
      </c>
      <c r="AK49" s="1981" t="s">
        <v>61</v>
      </c>
      <c r="AL49" s="3384">
        <v>6016.99</v>
      </c>
      <c r="AM49" s="3385"/>
      <c r="AN49" s="3384"/>
      <c r="AO49" s="3386"/>
      <c r="AP49" s="3387">
        <v>45474</v>
      </c>
      <c r="AQ49" s="2861" t="s">
        <v>61</v>
      </c>
      <c r="AR49" s="3387">
        <v>45657</v>
      </c>
      <c r="AS49" s="2861" t="s">
        <v>61</v>
      </c>
      <c r="AT49" s="3384">
        <v>4282.04</v>
      </c>
      <c r="AU49" s="3385"/>
      <c r="AV49" s="3384"/>
      <c r="AW49" s="3386"/>
      <c r="AX49" s="3387">
        <v>45658</v>
      </c>
      <c r="AY49" s="2861" t="s">
        <v>61</v>
      </c>
      <c r="AZ49" s="3387">
        <v>46022</v>
      </c>
      <c r="BA49" s="2861" t="s">
        <v>61</v>
      </c>
      <c r="BB49" s="3384">
        <v>3767.56</v>
      </c>
      <c r="BC49" s="3385"/>
      <c r="BD49" s="3384"/>
      <c r="BE49" s="3386"/>
      <c r="BF49" s="3387">
        <v>46023</v>
      </c>
      <c r="BG49" s="2861" t="s">
        <v>61</v>
      </c>
      <c r="BH49" s="3387">
        <v>46568</v>
      </c>
      <c r="BI49" s="2861" t="s">
        <v>61</v>
      </c>
      <c r="BJ49" s="3384">
        <v>4080.71</v>
      </c>
      <c r="BK49" s="3385"/>
      <c r="BL49" s="3384"/>
      <c r="BM49" s="3386"/>
      <c r="BN49" s="3387">
        <v>46569</v>
      </c>
      <c r="BO49" s="2861" t="s">
        <v>61</v>
      </c>
      <c r="BP49" s="3387">
        <v>46752</v>
      </c>
      <c r="BQ49" s="2861" t="s">
        <v>61</v>
      </c>
      <c r="BR49" s="3384">
        <v>4025.12</v>
      </c>
      <c r="BS49" s="3385"/>
      <c r="BT49" s="3384"/>
      <c r="BU49" s="3386"/>
      <c r="BV49" s="3387">
        <v>46753</v>
      </c>
      <c r="BW49" s="2861" t="s">
        <v>61</v>
      </c>
      <c r="BX49" s="3387">
        <v>47118</v>
      </c>
      <c r="BY49" s="2861" t="s">
        <v>61</v>
      </c>
      <c r="BZ49" s="1378"/>
      <c r="CA49" s="2137" t="s">
        <v>403</v>
      </c>
      <c r="CB49" s="517">
        <f>STRCHECKDATE(V50:BZ50)</f>
      </c>
      <c r="CC49" s="506"/>
      <c r="CD49" s="506" t="str">
        <f>IF(T49="","",T49)</f>
        <v>вода</v>
      </c>
      <c r="CE49" s="506"/>
      <c r="CF49" s="506"/>
    </row>
    <row customHeight="1" ht="0.75">
      <c r="A50" s="1393" t="s">
        <v>163</v>
      </c>
      <c r="B50" s="1393" t="s">
        <v>164</v>
      </c>
      <c r="C50" s="1393" t="s">
        <v>165</v>
      </c>
      <c r="D50" s="1393" t="s">
        <v>166</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45292.62304398148-45473.62326388889</v>
      </c>
      <c r="AH50" s="2113"/>
      <c r="AI50" s="1981"/>
      <c r="AJ50" s="2115"/>
      <c r="AK50" s="1981"/>
      <c r="AL50" s="3385"/>
      <c r="AM50" s="3385"/>
      <c r="AN50" s="3385"/>
      <c r="AO50" s="3389" t="str">
        <f>AP49&amp;"-"&amp;AR49</f>
        <v>45474-45657</v>
      </c>
      <c r="AP50" s="3390"/>
      <c r="AQ50" s="2861"/>
      <c r="AR50" s="3390"/>
      <c r="AS50" s="2861"/>
      <c r="AT50" s="3385"/>
      <c r="AU50" s="3385"/>
      <c r="AV50" s="3385"/>
      <c r="AW50" s="3389" t="str">
        <f>AX49&amp;"-"&amp;AZ49</f>
        <v>45658-46022</v>
      </c>
      <c r="AX50" s="3390"/>
      <c r="AY50" s="2861"/>
      <c r="AZ50" s="3390"/>
      <c r="BA50" s="2861"/>
      <c r="BB50" s="3385"/>
      <c r="BC50" s="3385"/>
      <c r="BD50" s="3385"/>
      <c r="BE50" s="3389" t="str">
        <f>BF49&amp;"-"&amp;BH49</f>
        <v>46023-46568</v>
      </c>
      <c r="BF50" s="3390"/>
      <c r="BG50" s="2861"/>
      <c r="BH50" s="3390"/>
      <c r="BI50" s="2861"/>
      <c r="BJ50" s="3385"/>
      <c r="BK50" s="3385"/>
      <c r="BL50" s="3385"/>
      <c r="BM50" s="3389" t="str">
        <f>BN49&amp;"-"&amp;BP49</f>
        <v>46569-46752</v>
      </c>
      <c r="BN50" s="3390"/>
      <c r="BO50" s="2861"/>
      <c r="BP50" s="3390"/>
      <c r="BQ50" s="2861"/>
      <c r="BR50" s="3385"/>
      <c r="BS50" s="3385"/>
      <c r="BT50" s="3385"/>
      <c r="BU50" s="3389" t="str">
        <f>BV49&amp;"-"&amp;BX49</f>
        <v>46753-47118</v>
      </c>
      <c r="BV50" s="3390"/>
      <c r="BW50" s="2861"/>
      <c r="BX50" s="3390"/>
      <c r="BY50" s="2861"/>
      <c r="BZ50" s="1379"/>
      <c r="CA50" s="2138"/>
      <c r="CC50" s="506"/>
      <c r="CD50" s="506" t="str">
        <f>IF(T50="","",T50)</f>
        <v/>
      </c>
      <c r="CE50" s="506"/>
      <c r="CF50" s="506"/>
    </row>
    <row customHeight="1" ht="11.25">
      <c r="A51" s="1393" t="s">
        <v>163</v>
      </c>
      <c r="B51" s="1393" t="s">
        <v>164</v>
      </c>
      <c r="C51" s="1393" t="s">
        <v>165</v>
      </c>
      <c r="D51" s="1393" t="s">
        <v>166</v>
      </c>
      <c r="E51" s="2108"/>
      <c r="F51" s="2108"/>
      <c r="G51" s="2108"/>
      <c r="H51" s="2108"/>
      <c r="I51" s="2110"/>
      <c r="J51" s="2109"/>
      <c r="K51" s="1393"/>
      <c r="L51" s="1394"/>
      <c r="P51" s="2111"/>
      <c r="Q51" s="2111"/>
      <c r="R51" s="352"/>
      <c r="S51" s="1308"/>
      <c r="T51" s="276" t="s">
        <v>404</v>
      </c>
      <c r="U51" s="367"/>
      <c r="V51" s="367"/>
      <c r="W51" s="367"/>
      <c r="X51" s="367"/>
      <c r="Y51" s="367"/>
      <c r="Z51" s="367"/>
      <c r="AA51" s="367"/>
      <c r="AB51" s="367"/>
      <c r="AC51" s="367"/>
      <c r="AD51" s="367"/>
      <c r="AE51" s="367"/>
      <c r="AF51" s="367"/>
      <c r="AG51" s="367"/>
      <c r="AH51" s="367"/>
      <c r="AI51" s="367"/>
      <c r="AJ51" s="367"/>
      <c r="AK51" s="367"/>
      <c r="AL51" s="3545"/>
      <c r="AM51" s="3546"/>
      <c r="AN51" s="3547"/>
      <c r="AO51" s="3548"/>
      <c r="AP51" s="3549"/>
      <c r="AQ51" s="3550"/>
      <c r="AR51" s="3551"/>
      <c r="AS51" s="3552"/>
      <c r="AT51" s="3553"/>
      <c r="AU51" s="3554"/>
      <c r="AV51" s="3555"/>
      <c r="AW51" s="3556"/>
      <c r="AX51" s="3557"/>
      <c r="AY51" s="3558"/>
      <c r="AZ51" s="3559"/>
      <c r="BA51" s="3560"/>
      <c r="BB51" s="3561"/>
      <c r="BC51" s="3562"/>
      <c r="BD51" s="3563"/>
      <c r="BE51" s="3564"/>
      <c r="BF51" s="3565"/>
      <c r="BG51" s="3566"/>
      <c r="BH51" s="3567"/>
      <c r="BI51" s="3568"/>
      <c r="BJ51" s="3569"/>
      <c r="BK51" s="3570"/>
      <c r="BL51" s="3571"/>
      <c r="BM51" s="3572"/>
      <c r="BN51" s="3573"/>
      <c r="BO51" s="3574"/>
      <c r="BP51" s="3575"/>
      <c r="BQ51" s="3576"/>
      <c r="BR51" s="3577"/>
      <c r="BS51" s="3578"/>
      <c r="BT51" s="3579"/>
      <c r="BU51" s="3580"/>
      <c r="BV51" s="3581"/>
      <c r="BW51" s="3582"/>
      <c r="BX51" s="3583"/>
      <c r="BY51" s="3584"/>
      <c r="BZ51" s="319"/>
      <c r="CA51" s="2139"/>
      <c r="CC51" s="506"/>
      <c r="CD51" s="506" t="str">
        <f>IF(T51="","",T51)</f>
        <v>Добавить вид теплоносителя (параметры теплоносителя)</v>
      </c>
      <c r="CE51" s="506"/>
      <c r="CF51" s="506"/>
    </row>
    <row s="3585" customFormat="1" customHeight="1" ht="21">
      <c r="A52" s="3586"/>
      <c r="B52" s="3586"/>
      <c r="C52" s="3586"/>
      <c r="D52" s="3586"/>
      <c r="E52" s="3587"/>
      <c r="F52" s="3587"/>
      <c r="G52" s="3587"/>
      <c r="H52" s="3587"/>
      <c r="I52" s="3588"/>
      <c r="J52" s="3589" t="str">
        <f>I47&amp;".2"</f>
        <v>1.1.1.1.1.2</v>
      </c>
      <c r="K52" s="3586"/>
      <c r="L52" s="3590" t="s">
        <v>399</v>
      </c>
      <c r="M52" s="3513"/>
      <c r="N52" s="3513"/>
      <c r="O52" s="3591"/>
      <c r="P52" s="3592"/>
      <c r="Q52" s="3593" t="s">
        <v>438</v>
      </c>
      <c r="R52" s="3594"/>
      <c r="S52" s="3595" t="str">
        <f>$J52</f>
        <v>1.1.1.1.1.2</v>
      </c>
      <c r="T52" s="3596" t="s">
        <v>400</v>
      </c>
      <c r="U52" s="3597"/>
      <c r="V52" s="3381"/>
      <c r="W52" s="3382"/>
      <c r="X52" s="3382"/>
      <c r="Y52" s="3382"/>
      <c r="Z52" s="3382"/>
      <c r="AA52" s="3382"/>
      <c r="AB52" s="3382"/>
      <c r="AC52" s="3383"/>
      <c r="AD52" s="3381" t="s">
        <v>443</v>
      </c>
      <c r="AE52" s="3382"/>
      <c r="AF52" s="3382"/>
      <c r="AG52" s="3382"/>
      <c r="AH52" s="3382"/>
      <c r="AI52" s="3382"/>
      <c r="AJ52" s="3382"/>
      <c r="AK52" s="3382"/>
      <c r="AL52" s="3381"/>
      <c r="AM52" s="3382"/>
      <c r="AN52" s="3382"/>
      <c r="AO52" s="3382"/>
      <c r="AP52" s="3382"/>
      <c r="AQ52" s="3382"/>
      <c r="AR52" s="3382"/>
      <c r="AS52" s="3383"/>
      <c r="AT52" s="3381"/>
      <c r="AU52" s="3382"/>
      <c r="AV52" s="3382"/>
      <c r="AW52" s="3382"/>
      <c r="AX52" s="3382"/>
      <c r="AY52" s="3382"/>
      <c r="AZ52" s="3382"/>
      <c r="BA52" s="3383"/>
      <c r="BB52" s="3381"/>
      <c r="BC52" s="3382"/>
      <c r="BD52" s="3382"/>
      <c r="BE52" s="3382"/>
      <c r="BF52" s="3382"/>
      <c r="BG52" s="3382"/>
      <c r="BH52" s="3382"/>
      <c r="BI52" s="3383"/>
      <c r="BJ52" s="3381"/>
      <c r="BK52" s="3382"/>
      <c r="BL52" s="3382"/>
      <c r="BM52" s="3382"/>
      <c r="BN52" s="3382"/>
      <c r="BO52" s="3382"/>
      <c r="BP52" s="3382"/>
      <c r="BQ52" s="3383"/>
      <c r="BR52" s="3381"/>
      <c r="BS52" s="3382"/>
      <c r="BT52" s="3382"/>
      <c r="BU52" s="3382"/>
      <c r="BV52" s="3382"/>
      <c r="BW52" s="3382"/>
      <c r="BX52" s="3382"/>
      <c r="BY52" s="3383"/>
      <c r="BZ52" s="3383"/>
      <c r="CA52" s="3598" t="s">
        <v>401</v>
      </c>
      <c r="CB52" s="3522"/>
      <c r="CC52" s="3599"/>
      <c r="CD52" s="3599" t="str">
        <f>IF(T52="","",T52)</f>
        <v>Группа потребителей</v>
      </c>
      <c r="CE52" s="3599"/>
      <c r="CF52" s="3599"/>
    </row>
    <row s="3600" customFormat="1" customHeight="1" ht="21">
      <c r="A53" s="3586"/>
      <c r="B53" s="3586"/>
      <c r="C53" s="3586"/>
      <c r="D53" s="3586"/>
      <c r="E53" s="3587"/>
      <c r="F53" s="3587"/>
      <c r="G53" s="3587"/>
      <c r="H53" s="3587"/>
      <c r="I53" s="3588"/>
      <c r="J53" s="3588" t="str">
        <f>I47&amp;".1"</f>
        <v>1.1.1.1.1.1</v>
      </c>
      <c r="K53" s="3589" t="str">
        <f>J52&amp;".1"</f>
        <v>1.1.1.1.1.2.1</v>
      </c>
      <c r="L53" s="3590" t="s">
        <v>402</v>
      </c>
      <c r="M53" s="3513"/>
      <c r="N53" s="3513"/>
      <c r="O53" s="3513"/>
      <c r="P53" s="3592"/>
      <c r="Q53" s="3592"/>
      <c r="R53" s="3594">
        <v>1</v>
      </c>
      <c r="S53" s="3595" t="str">
        <f>$K53</f>
        <v>1.1.1.1.1.2.1</v>
      </c>
      <c r="T53" s="3601" t="s">
        <v>442</v>
      </c>
      <c r="U53" s="3597"/>
      <c r="V53" s="3384"/>
      <c r="W53" s="3385"/>
      <c r="X53" s="3384"/>
      <c r="Y53" s="3386"/>
      <c r="Z53" s="3387"/>
      <c r="AA53" s="2861" t="s">
        <v>61</v>
      </c>
      <c r="AB53" s="3387"/>
      <c r="AC53" s="2861" t="s">
        <v>61</v>
      </c>
      <c r="AD53" s="3384">
        <v>2776.79</v>
      </c>
      <c r="AE53" s="3385"/>
      <c r="AF53" s="3384"/>
      <c r="AG53" s="3386"/>
      <c r="AH53" s="3387">
        <v>45292</v>
      </c>
      <c r="AI53" s="2861" t="s">
        <v>61</v>
      </c>
      <c r="AJ53" s="3387">
        <v>45473</v>
      </c>
      <c r="AK53" s="2861" t="s">
        <v>61</v>
      </c>
      <c r="AL53" s="3384">
        <v>6016.99</v>
      </c>
      <c r="AM53" s="3385"/>
      <c r="AN53" s="3384"/>
      <c r="AO53" s="3386"/>
      <c r="AP53" s="3387">
        <v>45474</v>
      </c>
      <c r="AQ53" s="2861" t="s">
        <v>61</v>
      </c>
      <c r="AR53" s="3387">
        <v>45657</v>
      </c>
      <c r="AS53" s="2861" t="s">
        <v>61</v>
      </c>
      <c r="AT53" s="3384">
        <v>4282.04</v>
      </c>
      <c r="AU53" s="3385"/>
      <c r="AV53" s="3384"/>
      <c r="AW53" s="3386"/>
      <c r="AX53" s="3387">
        <v>45658</v>
      </c>
      <c r="AY53" s="2861" t="s">
        <v>61</v>
      </c>
      <c r="AZ53" s="3387">
        <v>46022</v>
      </c>
      <c r="BA53" s="2861" t="s">
        <v>61</v>
      </c>
      <c r="BB53" s="3384">
        <v>3767.56</v>
      </c>
      <c r="BC53" s="3385"/>
      <c r="BD53" s="3384"/>
      <c r="BE53" s="3386"/>
      <c r="BF53" s="3387">
        <v>46023</v>
      </c>
      <c r="BG53" s="2861" t="s">
        <v>61</v>
      </c>
      <c r="BH53" s="3387">
        <v>46568</v>
      </c>
      <c r="BI53" s="2861" t="s">
        <v>61</v>
      </c>
      <c r="BJ53" s="3384">
        <v>4080.71</v>
      </c>
      <c r="BK53" s="3385"/>
      <c r="BL53" s="3384"/>
      <c r="BM53" s="3386"/>
      <c r="BN53" s="3387">
        <v>46569</v>
      </c>
      <c r="BO53" s="2861" t="s">
        <v>61</v>
      </c>
      <c r="BP53" s="3387">
        <v>46752</v>
      </c>
      <c r="BQ53" s="2861" t="s">
        <v>61</v>
      </c>
      <c r="BR53" s="3384">
        <v>4025.12</v>
      </c>
      <c r="BS53" s="3385"/>
      <c r="BT53" s="3384"/>
      <c r="BU53" s="3386"/>
      <c r="BV53" s="3387">
        <v>46753</v>
      </c>
      <c r="BW53" s="2861" t="s">
        <v>61</v>
      </c>
      <c r="BX53" s="3387">
        <v>47118</v>
      </c>
      <c r="BY53" s="2861" t="s">
        <v>61</v>
      </c>
      <c r="BZ53" s="3385"/>
      <c r="CA53" s="3602" t="s">
        <v>403</v>
      </c>
      <c r="CB53" s="3522">
        <f>STRCHECKDATE(V54:BZ54)</f>
      </c>
      <c r="CC53" s="3599"/>
      <c r="CD53" s="3599" t="str">
        <f>IF(T53="","",T53)</f>
        <v>вода</v>
      </c>
      <c r="CE53" s="3599"/>
      <c r="CF53" s="3599"/>
    </row>
    <row s="3603" customFormat="1" customHeight="1" ht="0.75">
      <c r="A54" s="3586"/>
      <c r="B54" s="3586"/>
      <c r="C54" s="3586"/>
      <c r="D54" s="3586"/>
      <c r="E54" s="3587"/>
      <c r="F54" s="3587"/>
      <c r="G54" s="3587"/>
      <c r="H54" s="3587"/>
      <c r="I54" s="3588"/>
      <c r="J54" s="3588" t="str">
        <f>I47&amp;".1"</f>
        <v>1.1.1.1.1.1</v>
      </c>
      <c r="K54" s="3589"/>
      <c r="L54" s="3590"/>
      <c r="M54" s="3513"/>
      <c r="N54" s="3513"/>
      <c r="O54" s="3513"/>
      <c r="P54" s="3592"/>
      <c r="Q54" s="3592"/>
      <c r="R54" s="3594"/>
      <c r="S54" s="3604"/>
      <c r="T54" s="3597"/>
      <c r="U54" s="3597"/>
      <c r="V54" s="3385"/>
      <c r="W54" s="3385"/>
      <c r="X54" s="3385"/>
      <c r="Y54" s="3389" t="str">
        <f>Z53&amp;"-"&amp;AB53</f>
        <v>-</v>
      </c>
      <c r="Z54" s="3390"/>
      <c r="AA54" s="2861"/>
      <c r="AB54" s="3390"/>
      <c r="AC54" s="2861"/>
      <c r="AD54" s="3385"/>
      <c r="AE54" s="3385"/>
      <c r="AF54" s="3385"/>
      <c r="AG54" s="3389" t="str">
        <f>AH53&amp;"-"&amp;AJ53</f>
        <v>45292-45473</v>
      </c>
      <c r="AH54" s="3390"/>
      <c r="AI54" s="2861"/>
      <c r="AJ54" s="3390"/>
      <c r="AK54" s="2861"/>
      <c r="AL54" s="3385"/>
      <c r="AM54" s="3385"/>
      <c r="AN54" s="3385"/>
      <c r="AO54" s="3389" t="str">
        <f>AP53&amp;"-"&amp;AR53</f>
        <v>45474-45657</v>
      </c>
      <c r="AP54" s="3390"/>
      <c r="AQ54" s="2861"/>
      <c r="AR54" s="3390"/>
      <c r="AS54" s="2861"/>
      <c r="AT54" s="3385"/>
      <c r="AU54" s="3385"/>
      <c r="AV54" s="3385"/>
      <c r="AW54" s="3389" t="str">
        <f>AX53&amp;"-"&amp;AZ53</f>
        <v>45658-46022</v>
      </c>
      <c r="AX54" s="3390"/>
      <c r="AY54" s="2861"/>
      <c r="AZ54" s="3390"/>
      <c r="BA54" s="2861"/>
      <c r="BB54" s="3385"/>
      <c r="BC54" s="3385"/>
      <c r="BD54" s="3385"/>
      <c r="BE54" s="3389" t="str">
        <f>BF53&amp;"-"&amp;BH53</f>
        <v>46023-46568</v>
      </c>
      <c r="BF54" s="3390"/>
      <c r="BG54" s="2861"/>
      <c r="BH54" s="3390"/>
      <c r="BI54" s="2861"/>
      <c r="BJ54" s="3385"/>
      <c r="BK54" s="3385"/>
      <c r="BL54" s="3385"/>
      <c r="BM54" s="3389" t="str">
        <f>BN53&amp;"-"&amp;BP53</f>
        <v>46569-46752</v>
      </c>
      <c r="BN54" s="3390"/>
      <c r="BO54" s="2861"/>
      <c r="BP54" s="3390"/>
      <c r="BQ54" s="2861"/>
      <c r="BR54" s="3385"/>
      <c r="BS54" s="3385"/>
      <c r="BT54" s="3385"/>
      <c r="BU54" s="3389" t="str">
        <f>BV53&amp;"-"&amp;BX53</f>
        <v>46753-47118</v>
      </c>
      <c r="BV54" s="3390"/>
      <c r="BW54" s="2861"/>
      <c r="BX54" s="3390"/>
      <c r="BY54" s="2861"/>
      <c r="BZ54" s="3385"/>
      <c r="CA54" s="3605"/>
      <c r="CB54" s="3522"/>
      <c r="CC54" s="3599"/>
      <c r="CD54" s="3599" t="str">
        <f>IF(T54="","",T54)</f>
        <v/>
      </c>
      <c r="CE54" s="3599"/>
      <c r="CF54" s="3599"/>
    </row>
    <row s="3606" customFormat="1" customHeight="1" ht="15">
      <c r="A55" s="3586"/>
      <c r="B55" s="3586"/>
      <c r="C55" s="3586"/>
      <c r="D55" s="3586"/>
      <c r="E55" s="3587"/>
      <c r="F55" s="3587"/>
      <c r="G55" s="3587"/>
      <c r="H55" s="3587"/>
      <c r="I55" s="3588"/>
      <c r="J55" s="3589" t="str">
        <f>I47&amp;".1"</f>
        <v>1.1.1.1.1.1</v>
      </c>
      <c r="K55" s="3586"/>
      <c r="L55" s="3590"/>
      <c r="M55" s="3513"/>
      <c r="N55" s="3513"/>
      <c r="O55" s="3591"/>
      <c r="P55" s="3592"/>
      <c r="Q55" s="3592"/>
      <c r="R55" s="3607"/>
      <c r="S55" s="3608"/>
      <c r="T55" s="3609" t="s">
        <v>404</v>
      </c>
      <c r="U55" s="3610"/>
      <c r="V55" s="3611"/>
      <c r="W55" s="3612"/>
      <c r="X55" s="3613"/>
      <c r="Y55" s="3614"/>
      <c r="Z55" s="3615"/>
      <c r="AA55" s="3616"/>
      <c r="AB55" s="3617"/>
      <c r="AC55" s="3618"/>
      <c r="AD55" s="3619"/>
      <c r="AE55" s="3620"/>
      <c r="AF55" s="3621"/>
      <c r="AG55" s="3622"/>
      <c r="AH55" s="3623"/>
      <c r="AI55" s="3624"/>
      <c r="AJ55" s="3625"/>
      <c r="AK55" s="3626"/>
      <c r="AL55" s="3627"/>
      <c r="AM55" s="3628"/>
      <c r="AN55" s="3629"/>
      <c r="AO55" s="3630"/>
      <c r="AP55" s="3631"/>
      <c r="AQ55" s="3632"/>
      <c r="AR55" s="3633"/>
      <c r="AS55" s="3634"/>
      <c r="AT55" s="3635"/>
      <c r="AU55" s="3636"/>
      <c r="AV55" s="3637"/>
      <c r="AW55" s="3638"/>
      <c r="AX55" s="3639"/>
      <c r="AY55" s="3640"/>
      <c r="AZ55" s="3641"/>
      <c r="BA55" s="3642"/>
      <c r="BB55" s="3643"/>
      <c r="BC55" s="3644"/>
      <c r="BD55" s="3645"/>
      <c r="BE55" s="3646"/>
      <c r="BF55" s="3647"/>
      <c r="BG55" s="3648"/>
      <c r="BH55" s="3649"/>
      <c r="BI55" s="3650"/>
      <c r="BJ55" s="3651"/>
      <c r="BK55" s="3652"/>
      <c r="BL55" s="3653"/>
      <c r="BM55" s="3654"/>
      <c r="BN55" s="3655"/>
      <c r="BO55" s="3656"/>
      <c r="BP55" s="3657"/>
      <c r="BQ55" s="3658"/>
      <c r="BR55" s="3659"/>
      <c r="BS55" s="3660"/>
      <c r="BT55" s="3661"/>
      <c r="BU55" s="3662"/>
      <c r="BV55" s="3663"/>
      <c r="BW55" s="3664"/>
      <c r="BX55" s="3665"/>
      <c r="BY55" s="3666"/>
      <c r="BZ55" s="3667"/>
      <c r="CA55" s="3668"/>
      <c r="CB55" s="3522"/>
      <c r="CC55" s="3599"/>
      <c r="CD55" s="3599" t="str">
        <f>IF(T55="","",T55)</f>
        <v>Добавить вид теплоносителя (параметры теплоносителя)</v>
      </c>
      <c r="CE55" s="3599"/>
      <c r="CF55" s="3599"/>
    </row>
    <row s="3669" customFormat="1" customHeight="1" ht="21">
      <c r="A56" s="3586"/>
      <c r="B56" s="3586"/>
      <c r="C56" s="3586"/>
      <c r="D56" s="3586"/>
      <c r="E56" s="3587"/>
      <c r="F56" s="3587"/>
      <c r="G56" s="3587"/>
      <c r="H56" s="3587"/>
      <c r="I56" s="3588"/>
      <c r="J56" s="3589" t="str">
        <f>I47&amp;".3"</f>
        <v>1.1.1.1.1.3</v>
      </c>
      <c r="K56" s="3586"/>
      <c r="L56" s="3590" t="s">
        <v>399</v>
      </c>
      <c r="M56" s="3513"/>
      <c r="N56" s="3513"/>
      <c r="O56" s="3591"/>
      <c r="P56" s="3592"/>
      <c r="Q56" s="3593" t="s">
        <v>438</v>
      </c>
      <c r="R56" s="3594"/>
      <c r="S56" s="3595" t="str">
        <f>$J56</f>
        <v>1.1.1.1.1.3</v>
      </c>
      <c r="T56" s="3596" t="s">
        <v>400</v>
      </c>
      <c r="U56" s="3597"/>
      <c r="V56" s="3381"/>
      <c r="W56" s="3382"/>
      <c r="X56" s="3382"/>
      <c r="Y56" s="3382"/>
      <c r="Z56" s="3382"/>
      <c r="AA56" s="3382"/>
      <c r="AB56" s="3382"/>
      <c r="AC56" s="3383"/>
      <c r="AD56" s="3381" t="s">
        <v>444</v>
      </c>
      <c r="AE56" s="3382"/>
      <c r="AF56" s="3382"/>
      <c r="AG56" s="3382"/>
      <c r="AH56" s="3382"/>
      <c r="AI56" s="3382"/>
      <c r="AJ56" s="3382"/>
      <c r="AK56" s="3382"/>
      <c r="AL56" s="3381"/>
      <c r="AM56" s="3382"/>
      <c r="AN56" s="3382"/>
      <c r="AO56" s="3382"/>
      <c r="AP56" s="3382"/>
      <c r="AQ56" s="3382"/>
      <c r="AR56" s="3382"/>
      <c r="AS56" s="3383"/>
      <c r="AT56" s="3381"/>
      <c r="AU56" s="3382"/>
      <c r="AV56" s="3382"/>
      <c r="AW56" s="3382"/>
      <c r="AX56" s="3382"/>
      <c r="AY56" s="3382"/>
      <c r="AZ56" s="3382"/>
      <c r="BA56" s="3383"/>
      <c r="BB56" s="3381"/>
      <c r="BC56" s="3382"/>
      <c r="BD56" s="3382"/>
      <c r="BE56" s="3382"/>
      <c r="BF56" s="3382"/>
      <c r="BG56" s="3382"/>
      <c r="BH56" s="3382"/>
      <c r="BI56" s="3383"/>
      <c r="BJ56" s="3381"/>
      <c r="BK56" s="3382"/>
      <c r="BL56" s="3382"/>
      <c r="BM56" s="3382"/>
      <c r="BN56" s="3382"/>
      <c r="BO56" s="3382"/>
      <c r="BP56" s="3382"/>
      <c r="BQ56" s="3383"/>
      <c r="BR56" s="3381"/>
      <c r="BS56" s="3382"/>
      <c r="BT56" s="3382"/>
      <c r="BU56" s="3382"/>
      <c r="BV56" s="3382"/>
      <c r="BW56" s="3382"/>
      <c r="BX56" s="3382"/>
      <c r="BY56" s="3383"/>
      <c r="BZ56" s="3383"/>
      <c r="CA56" s="3598" t="s">
        <v>401</v>
      </c>
      <c r="CB56" s="3522"/>
      <c r="CC56" s="3599"/>
      <c r="CD56" s="3599" t="str">
        <f>IF(T56="","",T56)</f>
        <v>Группа потребителей</v>
      </c>
      <c r="CE56" s="3599"/>
      <c r="CF56" s="3599"/>
    </row>
    <row s="3670" customFormat="1" customHeight="1" ht="21">
      <c r="A57" s="3586"/>
      <c r="B57" s="3586"/>
      <c r="C57" s="3586"/>
      <c r="D57" s="3586"/>
      <c r="E57" s="3587"/>
      <c r="F57" s="3587"/>
      <c r="G57" s="3587"/>
      <c r="H57" s="3587"/>
      <c r="I57" s="3588"/>
      <c r="J57" s="3588" t="str">
        <f>I47&amp;".2"</f>
        <v>1.1.1.1.1.2</v>
      </c>
      <c r="K57" s="3589" t="str">
        <f>J56&amp;".1"</f>
        <v>1.1.1.1.1.3.1</v>
      </c>
      <c r="L57" s="3590" t="s">
        <v>402</v>
      </c>
      <c r="M57" s="3513"/>
      <c r="N57" s="3513"/>
      <c r="O57" s="3513"/>
      <c r="P57" s="3592"/>
      <c r="Q57" s="3592"/>
      <c r="R57" s="3594">
        <v>1</v>
      </c>
      <c r="S57" s="3595" t="str">
        <f>$K57</f>
        <v>1.1.1.1.1.3.1</v>
      </c>
      <c r="T57" s="3601" t="s">
        <v>442</v>
      </c>
      <c r="U57" s="3597"/>
      <c r="V57" s="3384"/>
      <c r="W57" s="3385"/>
      <c r="X57" s="3384"/>
      <c r="Y57" s="3386"/>
      <c r="Z57" s="3387"/>
      <c r="AA57" s="2861" t="s">
        <v>61</v>
      </c>
      <c r="AB57" s="3387"/>
      <c r="AC57" s="2861" t="s">
        <v>61</v>
      </c>
      <c r="AD57" s="3384">
        <v>3332.15</v>
      </c>
      <c r="AE57" s="3385"/>
      <c r="AF57" s="3384"/>
      <c r="AG57" s="3386"/>
      <c r="AH57" s="3387">
        <v>45292</v>
      </c>
      <c r="AI57" s="2861" t="s">
        <v>61</v>
      </c>
      <c r="AJ57" s="3387">
        <v>45473</v>
      </c>
      <c r="AK57" s="2861" t="s">
        <v>61</v>
      </c>
      <c r="AL57" s="3384">
        <v>7220.39</v>
      </c>
      <c r="AM57" s="3385"/>
      <c r="AN57" s="3384"/>
      <c r="AO57" s="3386"/>
      <c r="AP57" s="3387">
        <v>45474</v>
      </c>
      <c r="AQ57" s="2861" t="s">
        <v>61</v>
      </c>
      <c r="AR57" s="3387">
        <v>45657</v>
      </c>
      <c r="AS57" s="2861" t="s">
        <v>61</v>
      </c>
      <c r="AT57" s="3384">
        <v>5138.45</v>
      </c>
      <c r="AU57" s="3385"/>
      <c r="AV57" s="3384"/>
      <c r="AW57" s="3386"/>
      <c r="AX57" s="3387">
        <v>45658</v>
      </c>
      <c r="AY57" s="2861" t="s">
        <v>61</v>
      </c>
      <c r="AZ57" s="3387">
        <v>46022</v>
      </c>
      <c r="BA57" s="2861" t="s">
        <v>61</v>
      </c>
      <c r="BB57" s="3384">
        <v>4521.07</v>
      </c>
      <c r="BC57" s="3385"/>
      <c r="BD57" s="3384"/>
      <c r="BE57" s="3386"/>
      <c r="BF57" s="3387">
        <v>46023</v>
      </c>
      <c r="BG57" s="2861" t="s">
        <v>61</v>
      </c>
      <c r="BH57" s="3387">
        <v>46568</v>
      </c>
      <c r="BI57" s="2861" t="s">
        <v>61</v>
      </c>
      <c r="BJ57" s="3384">
        <v>4896.85</v>
      </c>
      <c r="BK57" s="3385"/>
      <c r="BL57" s="3384"/>
      <c r="BM57" s="3386"/>
      <c r="BN57" s="3387">
        <v>46569</v>
      </c>
      <c r="BO57" s="2861" t="s">
        <v>61</v>
      </c>
      <c r="BP57" s="3387">
        <v>46752</v>
      </c>
      <c r="BQ57" s="2861" t="s">
        <v>61</v>
      </c>
      <c r="BR57" s="3384">
        <v>4830.14</v>
      </c>
      <c r="BS57" s="3385"/>
      <c r="BT57" s="3384"/>
      <c r="BU57" s="3386"/>
      <c r="BV57" s="3387">
        <v>46753</v>
      </c>
      <c r="BW57" s="2861" t="s">
        <v>61</v>
      </c>
      <c r="BX57" s="3387">
        <v>47118</v>
      </c>
      <c r="BY57" s="2861" t="s">
        <v>61</v>
      </c>
      <c r="BZ57" s="3385"/>
      <c r="CA57" s="3602" t="s">
        <v>403</v>
      </c>
      <c r="CB57" s="3522">
        <f>STRCHECKDATE(V58:BZ58)</f>
      </c>
      <c r="CC57" s="3599"/>
      <c r="CD57" s="3599" t="str">
        <f>IF(T57="","",T57)</f>
        <v>вода</v>
      </c>
      <c r="CE57" s="3599"/>
      <c r="CF57" s="3599"/>
    </row>
    <row s="3671" customFormat="1" customHeight="1" ht="0.75">
      <c r="A58" s="3586"/>
      <c r="B58" s="3586"/>
      <c r="C58" s="3586"/>
      <c r="D58" s="3586"/>
      <c r="E58" s="3587"/>
      <c r="F58" s="3587"/>
      <c r="G58" s="3587"/>
      <c r="H58" s="3587"/>
      <c r="I58" s="3588"/>
      <c r="J58" s="3588" t="str">
        <f>I47&amp;".2"</f>
        <v>1.1.1.1.1.2</v>
      </c>
      <c r="K58" s="3589"/>
      <c r="L58" s="3590"/>
      <c r="M58" s="3513"/>
      <c r="N58" s="3513"/>
      <c r="O58" s="3513"/>
      <c r="P58" s="3592"/>
      <c r="Q58" s="3592"/>
      <c r="R58" s="3594"/>
      <c r="S58" s="3604"/>
      <c r="T58" s="3597"/>
      <c r="U58" s="3597"/>
      <c r="V58" s="3385"/>
      <c r="W58" s="3385"/>
      <c r="X58" s="3385"/>
      <c r="Y58" s="3389" t="str">
        <f>Z57&amp;"-"&amp;AB57</f>
        <v>-</v>
      </c>
      <c r="Z58" s="3390"/>
      <c r="AA58" s="2861"/>
      <c r="AB58" s="3390"/>
      <c r="AC58" s="2861"/>
      <c r="AD58" s="3385"/>
      <c r="AE58" s="3385"/>
      <c r="AF58" s="3385"/>
      <c r="AG58" s="3389" t="str">
        <f>AH57&amp;"-"&amp;AJ57</f>
        <v>45292-45473</v>
      </c>
      <c r="AH58" s="3390"/>
      <c r="AI58" s="2861"/>
      <c r="AJ58" s="3390"/>
      <c r="AK58" s="2861"/>
      <c r="AL58" s="3385"/>
      <c r="AM58" s="3385"/>
      <c r="AN58" s="3385"/>
      <c r="AO58" s="3389" t="str">
        <f>AP57&amp;"-"&amp;AR57</f>
        <v>45474-45657</v>
      </c>
      <c r="AP58" s="3390"/>
      <c r="AQ58" s="2861"/>
      <c r="AR58" s="3390"/>
      <c r="AS58" s="2861"/>
      <c r="AT58" s="3385"/>
      <c r="AU58" s="3385"/>
      <c r="AV58" s="3385"/>
      <c r="AW58" s="3389" t="str">
        <f>AX57&amp;"-"&amp;AZ57</f>
        <v>45658-46022</v>
      </c>
      <c r="AX58" s="3390"/>
      <c r="AY58" s="2861"/>
      <c r="AZ58" s="3390"/>
      <c r="BA58" s="2861"/>
      <c r="BB58" s="3385"/>
      <c r="BC58" s="3385"/>
      <c r="BD58" s="3385"/>
      <c r="BE58" s="3389" t="str">
        <f>BF57&amp;"-"&amp;BH57</f>
        <v>46023-46568</v>
      </c>
      <c r="BF58" s="3390"/>
      <c r="BG58" s="2861"/>
      <c r="BH58" s="3390"/>
      <c r="BI58" s="2861"/>
      <c r="BJ58" s="3385"/>
      <c r="BK58" s="3385"/>
      <c r="BL58" s="3385"/>
      <c r="BM58" s="3389" t="str">
        <f>BN57&amp;"-"&amp;BP57</f>
        <v>46569-46752</v>
      </c>
      <c r="BN58" s="3390"/>
      <c r="BO58" s="2861"/>
      <c r="BP58" s="3390"/>
      <c r="BQ58" s="2861"/>
      <c r="BR58" s="3385"/>
      <c r="BS58" s="3385"/>
      <c r="BT58" s="3385"/>
      <c r="BU58" s="3389" t="str">
        <f>BV57&amp;"-"&amp;BX57</f>
        <v>46753-47118</v>
      </c>
      <c r="BV58" s="3390"/>
      <c r="BW58" s="2861"/>
      <c r="BX58" s="3390"/>
      <c r="BY58" s="2861"/>
      <c r="BZ58" s="3385"/>
      <c r="CA58" s="3605"/>
      <c r="CB58" s="3522"/>
      <c r="CC58" s="3599"/>
      <c r="CD58" s="3599" t="str">
        <f>IF(T58="","",T58)</f>
        <v/>
      </c>
      <c r="CE58" s="3599"/>
      <c r="CF58" s="3599"/>
    </row>
    <row s="3672" customFormat="1" customHeight="1" ht="15">
      <c r="A59" s="3586"/>
      <c r="B59" s="3586"/>
      <c r="C59" s="3586"/>
      <c r="D59" s="3586"/>
      <c r="E59" s="3587"/>
      <c r="F59" s="3587"/>
      <c r="G59" s="3587"/>
      <c r="H59" s="3587"/>
      <c r="I59" s="3588"/>
      <c r="J59" s="3589" t="str">
        <f>I47&amp;".2"</f>
        <v>1.1.1.1.1.2</v>
      </c>
      <c r="K59" s="3586"/>
      <c r="L59" s="3590"/>
      <c r="M59" s="3513"/>
      <c r="N59" s="3513"/>
      <c r="O59" s="3591"/>
      <c r="P59" s="3592"/>
      <c r="Q59" s="3592"/>
      <c r="R59" s="3607"/>
      <c r="S59" s="3673"/>
      <c r="T59" s="3674" t="s">
        <v>404</v>
      </c>
      <c r="U59" s="3675"/>
      <c r="V59" s="3676"/>
      <c r="W59" s="3677"/>
      <c r="X59" s="3678"/>
      <c r="Y59" s="3679"/>
      <c r="Z59" s="3680"/>
      <c r="AA59" s="3681"/>
      <c r="AB59" s="3682"/>
      <c r="AC59" s="3683"/>
      <c r="AD59" s="3684"/>
      <c r="AE59" s="3685"/>
      <c r="AF59" s="3686"/>
      <c r="AG59" s="3687"/>
      <c r="AH59" s="3688"/>
      <c r="AI59" s="3689"/>
      <c r="AJ59" s="3690"/>
      <c r="AK59" s="3691"/>
      <c r="AL59" s="3692"/>
      <c r="AM59" s="3693"/>
      <c r="AN59" s="3694"/>
      <c r="AO59" s="3695"/>
      <c r="AP59" s="3696"/>
      <c r="AQ59" s="3697"/>
      <c r="AR59" s="3698"/>
      <c r="AS59" s="3699"/>
      <c r="AT59" s="3700"/>
      <c r="AU59" s="3701"/>
      <c r="AV59" s="3702"/>
      <c r="AW59" s="3703"/>
      <c r="AX59" s="3704"/>
      <c r="AY59" s="3705"/>
      <c r="AZ59" s="3706"/>
      <c r="BA59" s="3707"/>
      <c r="BB59" s="3708"/>
      <c r="BC59" s="3709"/>
      <c r="BD59" s="3710"/>
      <c r="BE59" s="3711"/>
      <c r="BF59" s="3712"/>
      <c r="BG59" s="3713"/>
      <c r="BH59" s="3714"/>
      <c r="BI59" s="3715"/>
      <c r="BJ59" s="3716"/>
      <c r="BK59" s="3717"/>
      <c r="BL59" s="3718"/>
      <c r="BM59" s="3719"/>
      <c r="BN59" s="3720"/>
      <c r="BO59" s="3721"/>
      <c r="BP59" s="3722"/>
      <c r="BQ59" s="3723"/>
      <c r="BR59" s="3724"/>
      <c r="BS59" s="3725"/>
      <c r="BT59" s="3726"/>
      <c r="BU59" s="3727"/>
      <c r="BV59" s="3728"/>
      <c r="BW59" s="3729"/>
      <c r="BX59" s="3730"/>
      <c r="BY59" s="3731"/>
      <c r="BZ59" s="3732"/>
      <c r="CA59" s="3668"/>
      <c r="CB59" s="3522"/>
      <c r="CC59" s="3599"/>
      <c r="CD59" s="3599" t="str">
        <f>IF(T59="","",T59)</f>
        <v>Добавить вид теплоносителя (параметры теплоносителя)</v>
      </c>
      <c r="CE59" s="3599"/>
      <c r="CF59" s="3599"/>
    </row>
    <row customHeight="1" ht="11.25">
      <c r="A60" s="1393" t="s">
        <v>163</v>
      </c>
      <c r="B60" s="1393" t="s">
        <v>164</v>
      </c>
      <c r="C60" s="1393" t="s">
        <v>165</v>
      </c>
      <c r="D60" s="1393" t="s">
        <v>166</v>
      </c>
      <c r="E60" s="2108"/>
      <c r="F60" s="2108"/>
      <c r="G60" s="2108"/>
      <c r="H60" s="2108"/>
      <c r="I60" s="2109"/>
      <c r="J60" s="1393"/>
      <c r="K60" s="1393"/>
      <c r="L60" s="1394"/>
      <c r="P60" s="2111"/>
      <c r="Q60" s="1361"/>
      <c r="R60" s="352"/>
      <c r="S60" s="1308"/>
      <c r="T60" s="275" t="s">
        <v>405</v>
      </c>
      <c r="U60" s="367"/>
      <c r="V60" s="367"/>
      <c r="W60" s="367"/>
      <c r="X60" s="367"/>
      <c r="Y60" s="367"/>
      <c r="Z60" s="367"/>
      <c r="AA60" s="367"/>
      <c r="AB60" s="367"/>
      <c r="AC60" s="366"/>
      <c r="AD60" s="367"/>
      <c r="AE60" s="367"/>
      <c r="AF60" s="367"/>
      <c r="AG60" s="367"/>
      <c r="AH60" s="367"/>
      <c r="AI60" s="367"/>
      <c r="AJ60" s="367"/>
      <c r="AK60" s="366"/>
      <c r="AL60" s="3733"/>
      <c r="AM60" s="3734"/>
      <c r="AN60" s="3735"/>
      <c r="AO60" s="3736"/>
      <c r="AP60" s="3737"/>
      <c r="AQ60" s="3738"/>
      <c r="AR60" s="3739"/>
      <c r="AS60" s="3740"/>
      <c r="AT60" s="3741"/>
      <c r="AU60" s="3742"/>
      <c r="AV60" s="3743"/>
      <c r="AW60" s="3744"/>
      <c r="AX60" s="3745"/>
      <c r="AY60" s="3746"/>
      <c r="AZ60" s="3747"/>
      <c r="BA60" s="3748"/>
      <c r="BB60" s="3749"/>
      <c r="BC60" s="3750"/>
      <c r="BD60" s="3751"/>
      <c r="BE60" s="3752"/>
      <c r="BF60" s="3753"/>
      <c r="BG60" s="3754"/>
      <c r="BH60" s="3755"/>
      <c r="BI60" s="3756"/>
      <c r="BJ60" s="3757"/>
      <c r="BK60" s="3758"/>
      <c r="BL60" s="3759"/>
      <c r="BM60" s="3760"/>
      <c r="BN60" s="3761"/>
      <c r="BO60" s="3762"/>
      <c r="BP60" s="3763"/>
      <c r="BQ60" s="3764"/>
      <c r="BR60" s="3765"/>
      <c r="BS60" s="3766"/>
      <c r="BT60" s="3767"/>
      <c r="BU60" s="3768"/>
      <c r="BV60" s="3769"/>
      <c r="BW60" s="3770"/>
      <c r="BX60" s="3771"/>
      <c r="BY60" s="3772"/>
      <c r="BZ60" s="367"/>
      <c r="CA60" s="291"/>
      <c r="CC60" s="506"/>
      <c r="CD60" s="506" t="str">
        <f>IF(T60="","",T60)</f>
        <v>Добавить группу потребителей</v>
      </c>
      <c r="CE60" s="506"/>
      <c r="CF60" s="506"/>
    </row>
    <row customHeight="1" ht="14.25">
      <c r="A61" s="1393" t="s">
        <v>163</v>
      </c>
      <c r="B61" s="1393" t="s">
        <v>164</v>
      </c>
      <c r="C61" s="1393" t="s">
        <v>165</v>
      </c>
      <c r="D61" s="1393" t="s">
        <v>166</v>
      </c>
      <c r="E61" s="2108"/>
      <c r="F61" s="2108"/>
      <c r="G61" s="2108"/>
      <c r="H61" s="2107"/>
      <c r="I61" s="1393"/>
      <c r="J61" s="1393"/>
      <c r="K61" s="1393"/>
      <c r="L61" s="1394"/>
      <c r="M61" s="1395"/>
      <c r="N61" s="1395"/>
      <c r="O61" s="543"/>
      <c r="P61" s="356"/>
      <c r="Q61" s="376"/>
      <c r="R61" s="351"/>
      <c r="S61" s="1308"/>
      <c r="T61" s="364" t="s">
        <v>406</v>
      </c>
      <c r="U61" s="367"/>
      <c r="V61" s="367"/>
      <c r="W61" s="367"/>
      <c r="X61" s="367"/>
      <c r="Y61" s="367"/>
      <c r="Z61" s="367"/>
      <c r="AA61" s="367"/>
      <c r="AB61" s="367"/>
      <c r="AC61" s="366"/>
      <c r="AD61" s="367"/>
      <c r="AE61" s="367"/>
      <c r="AF61" s="367"/>
      <c r="AG61" s="367"/>
      <c r="AH61" s="367"/>
      <c r="AI61" s="367"/>
      <c r="AJ61" s="367"/>
      <c r="AK61" s="366"/>
      <c r="AL61" s="3773"/>
      <c r="AM61" s="3774"/>
      <c r="AN61" s="3775"/>
      <c r="AO61" s="3776"/>
      <c r="AP61" s="3777"/>
      <c r="AQ61" s="3778"/>
      <c r="AR61" s="3779"/>
      <c r="AS61" s="3780"/>
      <c r="AT61" s="3781"/>
      <c r="AU61" s="3782"/>
      <c r="AV61" s="3783"/>
      <c r="AW61" s="3784"/>
      <c r="AX61" s="3785"/>
      <c r="AY61" s="3786"/>
      <c r="AZ61" s="3787"/>
      <c r="BA61" s="3788"/>
      <c r="BB61" s="3789"/>
      <c r="BC61" s="3790"/>
      <c r="BD61" s="3791"/>
      <c r="BE61" s="3792"/>
      <c r="BF61" s="3793"/>
      <c r="BG61" s="3794"/>
      <c r="BH61" s="3795"/>
      <c r="BI61" s="3796"/>
      <c r="BJ61" s="3797"/>
      <c r="BK61" s="3798"/>
      <c r="BL61" s="3799"/>
      <c r="BM61" s="3800"/>
      <c r="BN61" s="3801"/>
      <c r="BO61" s="3802"/>
      <c r="BP61" s="3803"/>
      <c r="BQ61" s="3804"/>
      <c r="BR61" s="3805"/>
      <c r="BS61" s="3806"/>
      <c r="BT61" s="3807"/>
      <c r="BU61" s="3808"/>
      <c r="BV61" s="3809"/>
      <c r="BW61" s="3810"/>
      <c r="BX61" s="3811"/>
      <c r="BY61" s="3812"/>
      <c r="BZ61" s="367"/>
      <c r="CA61" s="291"/>
      <c r="CC61" s="506"/>
      <c r="CD61" s="506" t="str">
        <f>IF(T61="","",T61)</f>
        <v>Добавить схему подключения</v>
      </c>
      <c r="CE61" s="506"/>
      <c r="CF61" s="506"/>
    </row>
    <row s="3274" customFormat="1" customHeight="1" ht="0.75">
      <c r="A62" s="1373" t="s">
        <v>163</v>
      </c>
      <c r="B62" s="1373" t="s">
        <v>164</v>
      </c>
      <c r="C62" s="1373" t="s">
        <v>165</v>
      </c>
      <c r="D62" s="1344"/>
      <c r="E62" s="2108"/>
      <c r="F62" s="2108"/>
      <c r="G62" s="2107"/>
      <c r="H62" s="1344"/>
      <c r="I62" s="1344"/>
      <c r="J62" s="1344"/>
      <c r="K62" s="1344"/>
      <c r="L62" s="1369"/>
      <c r="M62" s="1345"/>
      <c r="N62" s="1345"/>
      <c r="P62" s="1346"/>
      <c r="Q62" s="1347"/>
      <c r="R62" s="1346"/>
      <c r="S62" s="1352"/>
      <c r="T62" s="1355" t="s">
        <v>167</v>
      </c>
      <c r="U62" s="1354"/>
      <c r="V62" s="1354"/>
      <c r="W62" s="1354"/>
      <c r="X62" s="1354"/>
      <c r="Y62" s="1354"/>
      <c r="Z62" s="1354"/>
      <c r="AA62" s="1354"/>
      <c r="AB62" s="1354"/>
      <c r="AC62" s="1354"/>
      <c r="AD62" s="1354"/>
      <c r="AE62" s="1354"/>
      <c r="AF62" s="1354"/>
      <c r="AG62" s="1354"/>
      <c r="AH62" s="1354"/>
      <c r="AI62" s="1354"/>
      <c r="AJ62" s="1354"/>
      <c r="AK62" s="1354"/>
      <c r="AL62" s="3512"/>
      <c r="AM62" s="3512"/>
      <c r="AN62" s="3512"/>
      <c r="AO62" s="3512"/>
      <c r="AP62" s="3512"/>
      <c r="AQ62" s="3512"/>
      <c r="AR62" s="3512"/>
      <c r="AS62" s="3512"/>
      <c r="AT62" s="3512"/>
      <c r="AU62" s="3512"/>
      <c r="AV62" s="3512"/>
      <c r="AW62" s="3512"/>
      <c r="AX62" s="3512"/>
      <c r="AY62" s="3512"/>
      <c r="AZ62" s="3512"/>
      <c r="BA62" s="3512"/>
      <c r="BB62" s="3512"/>
      <c r="BC62" s="3512"/>
      <c r="BD62" s="3512"/>
      <c r="BE62" s="3512"/>
      <c r="BF62" s="3512"/>
      <c r="BG62" s="3512"/>
      <c r="BH62" s="3512"/>
      <c r="BI62" s="3512"/>
      <c r="BJ62" s="3512"/>
      <c r="BK62" s="3512"/>
      <c r="BL62" s="3512"/>
      <c r="BM62" s="3512"/>
      <c r="BN62" s="3512"/>
      <c r="BO62" s="3512"/>
      <c r="BP62" s="3512"/>
      <c r="BQ62" s="3512"/>
      <c r="BR62" s="3512"/>
      <c r="BS62" s="3512"/>
      <c r="BT62" s="3512"/>
      <c r="BU62" s="3512"/>
      <c r="BV62" s="3512"/>
      <c r="BW62" s="3512"/>
      <c r="BX62" s="3512"/>
      <c r="BY62" s="3512"/>
      <c r="BZ62" s="1354"/>
      <c r="CA62" s="1354"/>
      <c r="CC62" s="795"/>
      <c r="CD62" s="795" t="str">
        <f>IF(T62="","",T62)</f>
        <v>Добавить источник для дифференциации</v>
      </c>
      <c r="CE62" s="795"/>
      <c r="CF62" s="795"/>
    </row>
    <row s="3274" customFormat="1" customHeight="1" ht="0.75">
      <c r="A63" s="1373" t="s">
        <v>163</v>
      </c>
      <c r="B63" s="1373" t="s">
        <v>164</v>
      </c>
      <c r="C63" s="1344"/>
      <c r="D63" s="1344"/>
      <c r="E63" s="2108"/>
      <c r="F63" s="2107"/>
      <c r="G63" s="1344"/>
      <c r="H63" s="1344"/>
      <c r="I63" s="1344"/>
      <c r="J63" s="1344"/>
      <c r="K63" s="1344"/>
      <c r="L63" s="1369"/>
      <c r="M63" s="1351"/>
      <c r="N63" s="1351"/>
      <c r="P63" s="1346"/>
      <c r="Q63" s="1347"/>
      <c r="R63" s="1346"/>
      <c r="S63" s="1352"/>
      <c r="T63" s="1355" t="s">
        <v>168</v>
      </c>
      <c r="U63" s="1354"/>
      <c r="V63" s="1354"/>
      <c r="W63" s="1354"/>
      <c r="X63" s="1354"/>
      <c r="Y63" s="1354"/>
      <c r="Z63" s="1354"/>
      <c r="AA63" s="1354"/>
      <c r="AB63" s="1354"/>
      <c r="AC63" s="1354"/>
      <c r="AD63" s="1354"/>
      <c r="AE63" s="1354"/>
      <c r="AF63" s="1354"/>
      <c r="AG63" s="1354"/>
      <c r="AH63" s="1354"/>
      <c r="AI63" s="1354"/>
      <c r="AJ63" s="1354"/>
      <c r="AK63" s="1354"/>
      <c r="AL63" s="3512"/>
      <c r="AM63" s="3512"/>
      <c r="AN63" s="3512"/>
      <c r="AO63" s="3512"/>
      <c r="AP63" s="3512"/>
      <c r="AQ63" s="3512"/>
      <c r="AR63" s="3512"/>
      <c r="AS63" s="3512"/>
      <c r="AT63" s="3512"/>
      <c r="AU63" s="3512"/>
      <c r="AV63" s="3512"/>
      <c r="AW63" s="3512"/>
      <c r="AX63" s="3512"/>
      <c r="AY63" s="3512"/>
      <c r="AZ63" s="3512"/>
      <c r="BA63" s="3512"/>
      <c r="BB63" s="3512"/>
      <c r="BC63" s="3512"/>
      <c r="BD63" s="3512"/>
      <c r="BE63" s="3512"/>
      <c r="BF63" s="3512"/>
      <c r="BG63" s="3512"/>
      <c r="BH63" s="3512"/>
      <c r="BI63" s="3512"/>
      <c r="BJ63" s="3512"/>
      <c r="BK63" s="3512"/>
      <c r="BL63" s="3512"/>
      <c r="BM63" s="3512"/>
      <c r="BN63" s="3512"/>
      <c r="BO63" s="3512"/>
      <c r="BP63" s="3512"/>
      <c r="BQ63" s="3512"/>
      <c r="BR63" s="3512"/>
      <c r="BS63" s="3512"/>
      <c r="BT63" s="3512"/>
      <c r="BU63" s="3512"/>
      <c r="BV63" s="3512"/>
      <c r="BW63" s="3512"/>
      <c r="BX63" s="3512"/>
      <c r="BY63" s="3512"/>
      <c r="BZ63" s="1354"/>
      <c r="CA63" s="1354"/>
      <c r="CC63" s="795"/>
      <c r="CD63" s="795" t="str">
        <f>IF(T63="","",T63)</f>
        <v>Добавить централизованную систему для дифференциации</v>
      </c>
      <c r="CE63" s="795"/>
      <c r="CF63" s="795"/>
    </row>
    <row s="2612" customFormat="1" customHeight="1" ht="0.75">
      <c r="A64" s="1373" t="s">
        <v>163</v>
      </c>
      <c r="B64" s="1373"/>
      <c r="C64" s="1373"/>
      <c r="D64" s="1373"/>
      <c r="E64" s="2107"/>
      <c r="F64" s="1373"/>
      <c r="G64" s="1373"/>
      <c r="H64" s="1373"/>
      <c r="I64" s="1373"/>
      <c r="J64" s="1373"/>
      <c r="K64" s="1373"/>
      <c r="L64" s="1376"/>
      <c r="M64" s="1351"/>
      <c r="N64" s="1351"/>
      <c r="O64" s="524"/>
      <c r="P64" s="385"/>
      <c r="Q64" s="1374"/>
      <c r="R64" s="385"/>
      <c r="S64" s="1352"/>
      <c r="T64" s="1355" t="s">
        <v>169</v>
      </c>
      <c r="U64" s="1354"/>
      <c r="V64" s="1354"/>
      <c r="W64" s="1354"/>
      <c r="X64" s="1354"/>
      <c r="Y64" s="1354"/>
      <c r="Z64" s="1354"/>
      <c r="AA64" s="1354"/>
      <c r="AB64" s="1354"/>
      <c r="AC64" s="1354"/>
      <c r="AD64" s="1354"/>
      <c r="AE64" s="1354"/>
      <c r="AF64" s="1354"/>
      <c r="AG64" s="1354"/>
      <c r="AH64" s="1354"/>
      <c r="AI64" s="1354"/>
      <c r="AJ64" s="1354"/>
      <c r="AK64" s="1354"/>
      <c r="AL64" s="3512"/>
      <c r="AM64" s="3512"/>
      <c r="AN64" s="3512"/>
      <c r="AO64" s="3512"/>
      <c r="AP64" s="3512"/>
      <c r="AQ64" s="3512"/>
      <c r="AR64" s="3512"/>
      <c r="AS64" s="3512"/>
      <c r="AT64" s="3512"/>
      <c r="AU64" s="3512"/>
      <c r="AV64" s="3512"/>
      <c r="AW64" s="3512"/>
      <c r="AX64" s="3512"/>
      <c r="AY64" s="3512"/>
      <c r="AZ64" s="3512"/>
      <c r="BA64" s="3512"/>
      <c r="BB64" s="3512"/>
      <c r="BC64" s="3512"/>
      <c r="BD64" s="3512"/>
      <c r="BE64" s="3512"/>
      <c r="BF64" s="3512"/>
      <c r="BG64" s="3512"/>
      <c r="BH64" s="3512"/>
      <c r="BI64" s="3512"/>
      <c r="BJ64" s="3512"/>
      <c r="BK64" s="3512"/>
      <c r="BL64" s="3512"/>
      <c r="BM64" s="3512"/>
      <c r="BN64" s="3512"/>
      <c r="BO64" s="3512"/>
      <c r="BP64" s="3512"/>
      <c r="BQ64" s="3512"/>
      <c r="BR64" s="3512"/>
      <c r="BS64" s="3512"/>
      <c r="BT64" s="3512"/>
      <c r="BU64" s="3512"/>
      <c r="BV64" s="3512"/>
      <c r="BW64" s="3512"/>
      <c r="BX64" s="3512"/>
      <c r="BY64" s="3512"/>
      <c r="BZ64" s="1354"/>
      <c r="CA64" s="1354"/>
      <c r="CC64" s="506"/>
      <c r="CD64" s="506" t="str">
        <f>IF(T64="","",T64)</f>
        <v>Добавить территорию для дифференциации</v>
      </c>
      <c r="CE64" s="506"/>
      <c r="CF64" s="506"/>
    </row>
    <row s="3274" customFormat="1" customHeight="1" ht="0.75">
      <c r="A65" s="1344"/>
      <c r="B65" s="1344"/>
      <c r="C65" s="1344"/>
      <c r="D65" s="1344"/>
      <c r="E65" s="1373"/>
      <c r="F65" s="1344"/>
      <c r="G65" s="1344"/>
      <c r="H65" s="1344"/>
      <c r="I65" s="1344"/>
      <c r="J65" s="1344"/>
      <c r="K65" s="1344"/>
      <c r="L65" s="1369"/>
      <c r="M65" s="1351"/>
      <c r="N65" s="1351"/>
      <c r="P65" s="1346"/>
      <c r="Q65" s="1347"/>
      <c r="R65" s="1346"/>
      <c r="S65" s="1352"/>
      <c r="T65" s="1355" t="s">
        <v>170</v>
      </c>
      <c r="U65" s="1354"/>
      <c r="V65" s="1354"/>
      <c r="W65" s="1354"/>
      <c r="X65" s="1354"/>
      <c r="Y65" s="1354"/>
      <c r="Z65" s="1354"/>
      <c r="AA65" s="1354"/>
      <c r="AB65" s="1354"/>
      <c r="AC65" s="1354"/>
      <c r="AD65" s="1354"/>
      <c r="AE65" s="1354"/>
      <c r="AF65" s="1354"/>
      <c r="AG65" s="1354"/>
      <c r="AH65" s="1354"/>
      <c r="AI65" s="1354"/>
      <c r="AJ65" s="1354"/>
      <c r="AK65" s="1354"/>
      <c r="AL65" s="3512"/>
      <c r="AM65" s="3512"/>
      <c r="AN65" s="3512"/>
      <c r="AO65" s="3512"/>
      <c r="AP65" s="3512"/>
      <c r="AQ65" s="3512"/>
      <c r="AR65" s="3512"/>
      <c r="AS65" s="3512"/>
      <c r="AT65" s="3512"/>
      <c r="AU65" s="3512"/>
      <c r="AV65" s="3512"/>
      <c r="AW65" s="3512"/>
      <c r="AX65" s="3512"/>
      <c r="AY65" s="3512"/>
      <c r="AZ65" s="3512"/>
      <c r="BA65" s="3512"/>
      <c r="BB65" s="3512"/>
      <c r="BC65" s="3512"/>
      <c r="BD65" s="3512"/>
      <c r="BE65" s="3512"/>
      <c r="BF65" s="3512"/>
      <c r="BG65" s="3512"/>
      <c r="BH65" s="3512"/>
      <c r="BI65" s="3512"/>
      <c r="BJ65" s="3512"/>
      <c r="BK65" s="3512"/>
      <c r="BL65" s="3512"/>
      <c r="BM65" s="3512"/>
      <c r="BN65" s="3512"/>
      <c r="BO65" s="3512"/>
      <c r="BP65" s="3512"/>
      <c r="BQ65" s="3512"/>
      <c r="BR65" s="3512"/>
      <c r="BS65" s="3512"/>
      <c r="BT65" s="3512"/>
      <c r="BU65" s="3512"/>
      <c r="BV65" s="3512"/>
      <c r="BW65" s="3512"/>
      <c r="BX65" s="3512"/>
      <c r="BY65" s="3512"/>
      <c r="BZ65" s="1354"/>
      <c r="CA65" s="1354"/>
      <c r="CC65" s="795"/>
      <c r="CD65" s="795" t="str">
        <f>IF(T65="","",T65)</f>
        <v>Добавить наименование тарифа</v>
      </c>
      <c r="CE65" s="795"/>
      <c r="CF65" s="795"/>
    </row>
    <row customHeight="1" ht="11.25">
      <c r="M66" s="1168"/>
      <c r="N66" s="1168"/>
      <c r="O66" s="543"/>
      <c r="P66" s="1163"/>
      <c r="Q66" s="1163"/>
      <c r="R66" s="1163"/>
      <c r="S66" s="1163"/>
      <c r="AL66" s="3374"/>
      <c r="AM66" s="3374"/>
      <c r="AN66" s="3374"/>
      <c r="AO66" s="3374"/>
      <c r="AP66" s="3374"/>
      <c r="AQ66" s="3374"/>
      <c r="AR66" s="3374"/>
      <c r="AS66" s="3374"/>
      <c r="AT66" s="3374"/>
      <c r="AU66" s="3374"/>
      <c r="AV66" s="3374"/>
      <c r="AW66" s="3374"/>
      <c r="AX66" s="3374"/>
      <c r="AY66" s="3374"/>
      <c r="AZ66" s="3374"/>
      <c r="BA66" s="3374"/>
      <c r="BB66" s="3374"/>
      <c r="BC66" s="3374"/>
      <c r="BD66" s="3374"/>
      <c r="BE66" s="3374"/>
      <c r="BF66" s="3374"/>
      <c r="BG66" s="3374"/>
      <c r="BH66" s="3374"/>
      <c r="BI66" s="3374"/>
      <c r="BJ66" s="3374"/>
      <c r="BK66" s="3374"/>
      <c r="BL66" s="3374"/>
      <c r="BM66" s="3374"/>
      <c r="BN66" s="3374"/>
      <c r="BO66" s="3374"/>
      <c r="BP66" s="3374"/>
      <c r="BQ66" s="3374"/>
      <c r="BR66" s="3374"/>
      <c r="BS66" s="3374"/>
      <c r="BT66" s="3374"/>
      <c r="BU66" s="3374"/>
      <c r="BV66" s="3374"/>
      <c r="BW66" s="3374"/>
      <c r="BX66" s="3374"/>
      <c r="BY66" s="3374"/>
      <c r="CB66" s="1163"/>
      <c r="CC66" s="1163"/>
      <c r="CD66" s="1163"/>
      <c r="CE66" s="1163"/>
      <c r="CF66" s="1163"/>
    </row>
    <row customHeight="1" ht="27">
      <c r="O67" s="543"/>
      <c r="S67" s="1273"/>
      <c r="T67" s="2106"/>
      <c r="U67" s="2106"/>
      <c r="V67" s="2106"/>
      <c r="W67" s="2106"/>
      <c r="X67" s="2106"/>
      <c r="Y67" s="2106"/>
      <c r="Z67" s="2106"/>
      <c r="AA67" s="2106"/>
      <c r="AB67" s="2106"/>
      <c r="AC67" s="2106"/>
      <c r="AD67" s="2106"/>
      <c r="AE67" s="2106"/>
      <c r="AF67" s="2106"/>
      <c r="AG67" s="2106"/>
      <c r="AH67" s="2106"/>
      <c r="AI67" s="2106"/>
      <c r="AJ67" s="2106"/>
      <c r="AK67" s="2106"/>
      <c r="AL67" s="3813"/>
      <c r="AM67" s="3813"/>
      <c r="AN67" s="3813"/>
      <c r="AO67" s="3813"/>
      <c r="AP67" s="3813"/>
      <c r="AQ67" s="3813"/>
      <c r="AR67" s="3813"/>
      <c r="AS67" s="3813"/>
      <c r="AT67" s="3813"/>
      <c r="AU67" s="3813"/>
      <c r="AV67" s="3813"/>
      <c r="AW67" s="3813"/>
      <c r="AX67" s="3813"/>
      <c r="AY67" s="3813"/>
      <c r="AZ67" s="3813"/>
      <c r="BA67" s="3813"/>
      <c r="BB67" s="3813"/>
      <c r="BC67" s="3813"/>
      <c r="BD67" s="3813"/>
      <c r="BE67" s="3813"/>
      <c r="BF67" s="3813"/>
      <c r="BG67" s="3813"/>
      <c r="BH67" s="3813"/>
      <c r="BI67" s="3813"/>
      <c r="BJ67" s="3813"/>
      <c r="BK67" s="3813"/>
      <c r="BL67" s="3813"/>
      <c r="BM67" s="3813"/>
      <c r="BN67" s="3813"/>
      <c r="BO67" s="3813"/>
      <c r="BP67" s="3813"/>
      <c r="BQ67" s="3813"/>
      <c r="BR67" s="3813"/>
      <c r="BS67" s="3813"/>
      <c r="BT67" s="3813"/>
      <c r="BU67" s="3813"/>
      <c r="BV67" s="3813"/>
      <c r="BW67" s="3813"/>
      <c r="BX67" s="3813"/>
      <c r="BY67" s="3813"/>
      <c r="BZ67" s="2106"/>
      <c r="CA67" s="2106"/>
    </row>
    <row customHeight="1" ht="62.25">
      <c r="O68" s="543"/>
      <c r="T68" s="2106"/>
      <c r="U68" s="2106"/>
      <c r="V68" s="2106"/>
      <c r="W68" s="2106"/>
      <c r="X68" s="2106"/>
      <c r="Y68" s="2106"/>
      <c r="Z68" s="2106"/>
      <c r="AA68" s="2106"/>
      <c r="AB68" s="2106"/>
      <c r="AC68" s="2106"/>
      <c r="AD68" s="2106"/>
      <c r="AE68" s="2106"/>
      <c r="AF68" s="2106"/>
      <c r="AG68" s="2106"/>
      <c r="AH68" s="2106"/>
      <c r="AI68" s="2106"/>
      <c r="AJ68" s="2106"/>
      <c r="AK68" s="2106"/>
      <c r="AL68" s="3813"/>
      <c r="AM68" s="3813"/>
      <c r="AN68" s="3813"/>
      <c r="AO68" s="3813"/>
      <c r="AP68" s="3813"/>
      <c r="AQ68" s="3813"/>
      <c r="AR68" s="3813"/>
      <c r="AS68" s="3813"/>
      <c r="AT68" s="3813"/>
      <c r="AU68" s="3813"/>
      <c r="AV68" s="3813"/>
      <c r="AW68" s="3813"/>
      <c r="AX68" s="3813"/>
      <c r="AY68" s="3813"/>
      <c r="AZ68" s="3813"/>
      <c r="BA68" s="3813"/>
      <c r="BB68" s="3813"/>
      <c r="BC68" s="3813"/>
      <c r="BD68" s="3813"/>
      <c r="BE68" s="3813"/>
      <c r="BF68" s="3813"/>
      <c r="BG68" s="3813"/>
      <c r="BH68" s="3813"/>
      <c r="BI68" s="3813"/>
      <c r="BJ68" s="3813"/>
      <c r="BK68" s="3813"/>
      <c r="BL68" s="3813"/>
      <c r="BM68" s="3813"/>
      <c r="BN68" s="3813"/>
      <c r="BO68" s="3813"/>
      <c r="BP68" s="3813"/>
      <c r="BQ68" s="3813"/>
      <c r="BR68" s="3813"/>
      <c r="BS68" s="3813"/>
      <c r="BT68" s="3813"/>
      <c r="BU68" s="3813"/>
      <c r="BV68" s="3813"/>
      <c r="BW68" s="3813"/>
      <c r="BX68" s="3813"/>
      <c r="BY68" s="3813"/>
      <c r="BZ68" s="2106"/>
      <c r="CA68" s="2106"/>
    </row>
    <row customHeight="1" ht="14.25">
      <c r="O69" s="543"/>
      <c r="AL69" s="3374"/>
      <c r="AM69" s="3374"/>
      <c r="AN69" s="3374"/>
      <c r="AO69" s="3374"/>
      <c r="AP69" s="3374"/>
      <c r="AQ69" s="3374"/>
      <c r="AR69" s="3374"/>
      <c r="AS69" s="3374"/>
      <c r="AT69" s="3374"/>
      <c r="AU69" s="3374"/>
      <c r="AV69" s="3374"/>
      <c r="AW69" s="3374"/>
      <c r="AX69" s="3374"/>
      <c r="AY69" s="3374"/>
      <c r="AZ69" s="3374"/>
      <c r="BA69" s="3374"/>
      <c r="BB69" s="3374"/>
      <c r="BC69" s="3374"/>
      <c r="BD69" s="3374"/>
      <c r="BE69" s="3374"/>
      <c r="BF69" s="3374"/>
      <c r="BG69" s="3374"/>
      <c r="BH69" s="3374"/>
      <c r="BI69" s="3374"/>
      <c r="BJ69" s="3374"/>
      <c r="BK69" s="3374"/>
      <c r="BL69" s="3374"/>
      <c r="BM69" s="3374"/>
      <c r="BN69" s="3374"/>
      <c r="BO69" s="3374"/>
      <c r="BP69" s="3374"/>
      <c r="BQ69" s="3374"/>
      <c r="BR69" s="3374"/>
      <c r="BS69" s="3374"/>
      <c r="BT69" s="3374"/>
      <c r="BU69" s="3374"/>
      <c r="BV69" s="3374"/>
      <c r="BW69" s="3374"/>
      <c r="BX69" s="3374"/>
      <c r="BY69" s="3374"/>
    </row>
    <row customHeight="1" ht="18">
      <c r="O70" s="543"/>
      <c r="S70" s="1273"/>
      <c r="T70" s="2106"/>
      <c r="U70" s="2106"/>
      <c r="V70" s="2106"/>
      <c r="W70" s="2106"/>
      <c r="X70" s="2106"/>
      <c r="Y70" s="2106"/>
      <c r="Z70" s="2106"/>
      <c r="AA70" s="2106"/>
      <c r="AB70" s="2106"/>
      <c r="AC70" s="2106"/>
      <c r="AD70" s="2106"/>
      <c r="AE70" s="2106"/>
      <c r="AF70" s="2106"/>
      <c r="AG70" s="2106"/>
      <c r="AH70" s="2106"/>
      <c r="AI70" s="2106"/>
      <c r="AJ70" s="2106"/>
      <c r="AK70" s="2106"/>
      <c r="AL70" s="3813"/>
      <c r="AM70" s="3813"/>
      <c r="AN70" s="3813"/>
      <c r="AO70" s="3813"/>
      <c r="AP70" s="3813"/>
      <c r="AQ70" s="3813"/>
      <c r="AR70" s="3813"/>
      <c r="AS70" s="3813"/>
      <c r="AT70" s="3813"/>
      <c r="AU70" s="3813"/>
      <c r="AV70" s="3813"/>
      <c r="AW70" s="3813"/>
      <c r="AX70" s="3813"/>
      <c r="AY70" s="3813"/>
      <c r="AZ70" s="3813"/>
      <c r="BA70" s="3813"/>
      <c r="BB70" s="3813"/>
      <c r="BC70" s="3813"/>
      <c r="BD70" s="3813"/>
      <c r="BE70" s="3813"/>
      <c r="BF70" s="3813"/>
      <c r="BG70" s="3813"/>
      <c r="BH70" s="3813"/>
      <c r="BI70" s="3813"/>
      <c r="BJ70" s="3813"/>
      <c r="BK70" s="3813"/>
      <c r="BL70" s="3813"/>
      <c r="BM70" s="3813"/>
      <c r="BN70" s="3813"/>
      <c r="BO70" s="3813"/>
      <c r="BP70" s="3813"/>
      <c r="BQ70" s="3813"/>
      <c r="BR70" s="3813"/>
      <c r="BS70" s="3813"/>
      <c r="BT70" s="3813"/>
      <c r="BU70" s="3813"/>
      <c r="BV70" s="3813"/>
      <c r="BW70" s="3813"/>
      <c r="BX70" s="3813"/>
      <c r="BY70" s="3813"/>
      <c r="BZ70" s="2106"/>
      <c r="CA70" s="2106"/>
    </row>
    <row customHeight="1" ht="18">
      <c r="O71" s="543"/>
      <c r="T71" s="2106"/>
      <c r="U71" s="2106"/>
      <c r="V71" s="2106"/>
      <c r="W71" s="2106"/>
      <c r="X71" s="2106"/>
      <c r="Y71" s="2106"/>
      <c r="Z71" s="2106"/>
      <c r="AA71" s="2106"/>
      <c r="AB71" s="2106"/>
      <c r="AC71" s="2106"/>
      <c r="AD71" s="2106"/>
      <c r="AE71" s="2106"/>
      <c r="AF71" s="2106"/>
      <c r="AG71" s="2106"/>
      <c r="AH71" s="2106"/>
      <c r="AI71" s="2106"/>
      <c r="AJ71" s="2106"/>
      <c r="AK71" s="2106"/>
      <c r="AL71" s="3813"/>
      <c r="AM71" s="3813"/>
      <c r="AN71" s="3813"/>
      <c r="AO71" s="3813"/>
      <c r="AP71" s="3813"/>
      <c r="AQ71" s="3813"/>
      <c r="AR71" s="3813"/>
      <c r="AS71" s="3813"/>
      <c r="AT71" s="3813"/>
      <c r="AU71" s="3813"/>
      <c r="AV71" s="3813"/>
      <c r="AW71" s="3813"/>
      <c r="AX71" s="3813"/>
      <c r="AY71" s="3813"/>
      <c r="AZ71" s="3813"/>
      <c r="BA71" s="3813"/>
      <c r="BB71" s="3813"/>
      <c r="BC71" s="3813"/>
      <c r="BD71" s="3813"/>
      <c r="BE71" s="3813"/>
      <c r="BF71" s="3813"/>
      <c r="BG71" s="3813"/>
      <c r="BH71" s="3813"/>
      <c r="BI71" s="3813"/>
      <c r="BJ71" s="3813"/>
      <c r="BK71" s="3813"/>
      <c r="BL71" s="3813"/>
      <c r="BM71" s="3813"/>
      <c r="BN71" s="3813"/>
      <c r="BO71" s="3813"/>
      <c r="BP71" s="3813"/>
      <c r="BQ71" s="3813"/>
      <c r="BR71" s="3813"/>
      <c r="BS71" s="3813"/>
      <c r="BT71" s="3813"/>
      <c r="BU71" s="3813"/>
      <c r="BV71" s="3813"/>
      <c r="BW71" s="3813"/>
      <c r="BX71" s="3813"/>
      <c r="BY71" s="3813"/>
      <c r="BZ71" s="2106"/>
      <c r="CA71" s="2106"/>
    </row>
    <row customHeight="1" ht="27.75">
      <c r="O72" s="543"/>
      <c r="S72" s="1273"/>
      <c r="T72" s="2106"/>
      <c r="U72" s="2106"/>
      <c r="V72" s="2106"/>
      <c r="W72" s="2106"/>
      <c r="X72" s="2106"/>
      <c r="Y72" s="2106"/>
      <c r="Z72" s="2106"/>
      <c r="AA72" s="2106"/>
      <c r="AB72" s="2106"/>
      <c r="AC72" s="2106"/>
      <c r="AD72" s="2106"/>
      <c r="AE72" s="2106"/>
      <c r="AF72" s="2106"/>
      <c r="AG72" s="2106"/>
      <c r="AH72" s="2106"/>
      <c r="AI72" s="2106"/>
      <c r="AJ72" s="2106"/>
      <c r="AK72" s="2106"/>
      <c r="AL72" s="3813"/>
      <c r="AM72" s="3813"/>
      <c r="AN72" s="3813"/>
      <c r="AO72" s="3813"/>
      <c r="AP72" s="3813"/>
      <c r="AQ72" s="3813"/>
      <c r="AR72" s="3813"/>
      <c r="AS72" s="3813"/>
      <c r="AT72" s="3813"/>
      <c r="AU72" s="3813"/>
      <c r="AV72" s="3813"/>
      <c r="AW72" s="3813"/>
      <c r="AX72" s="3813"/>
      <c r="AY72" s="3813"/>
      <c r="AZ72" s="3813"/>
      <c r="BA72" s="3813"/>
      <c r="BB72" s="3813"/>
      <c r="BC72" s="3813"/>
      <c r="BD72" s="3813"/>
      <c r="BE72" s="3813"/>
      <c r="BF72" s="3813"/>
      <c r="BG72" s="3813"/>
      <c r="BH72" s="3813"/>
      <c r="BI72" s="3813"/>
      <c r="BJ72" s="3813"/>
      <c r="BK72" s="3813"/>
      <c r="BL72" s="3813"/>
      <c r="BM72" s="3813"/>
      <c r="BN72" s="3813"/>
      <c r="BO72" s="3813"/>
      <c r="BP72" s="3813"/>
      <c r="BQ72" s="3813"/>
      <c r="BR72" s="3813"/>
      <c r="BS72" s="3813"/>
      <c r="BT72" s="3813"/>
      <c r="BU72" s="3813"/>
      <c r="BV72" s="3813"/>
      <c r="BW72" s="3813"/>
      <c r="BX72" s="3813"/>
      <c r="BY72" s="3813"/>
      <c r="BZ72" s="2106"/>
      <c r="CA72" s="2106"/>
    </row>
  </sheetData>
  <sheetProtection formatColumns="0" formatRows="0" autoFilter="0" sort="0" insertRows="0" insertColumns="1" deleteRows="0" deleteColumns="0"/>
  <mergeCells count="295">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BZ7"/>
    <mergeCell ref="V2:AC2"/>
    <mergeCell ref="AD2:BZ2"/>
    <mergeCell ref="V3:AC3"/>
    <mergeCell ref="AD3:BZ3"/>
    <mergeCell ref="V4:AC4"/>
    <mergeCell ref="AD4:BZ4"/>
    <mergeCell ref="V5:AC5"/>
    <mergeCell ref="AD5:BZ5"/>
    <mergeCell ref="V6:AC6"/>
    <mergeCell ref="AD6:BZ6"/>
    <mergeCell ref="CA8:CA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BZ38"/>
    <mergeCell ref="CA38:CA41"/>
    <mergeCell ref="S39:S41"/>
    <mergeCell ref="T39:T41"/>
    <mergeCell ref="V39:AB39"/>
    <mergeCell ref="AC39:AC41"/>
    <mergeCell ref="AD39:AJ39"/>
    <mergeCell ref="AK39:AK41"/>
    <mergeCell ref="BZ39:BZ41"/>
    <mergeCell ref="V40:V41"/>
    <mergeCell ref="W40:W41"/>
    <mergeCell ref="X40:Y40"/>
    <mergeCell ref="Z40:AB40"/>
    <mergeCell ref="AD40:AD41"/>
    <mergeCell ref="AE40:AE41"/>
    <mergeCell ref="AF40:AG40"/>
    <mergeCell ref="E43:E64"/>
    <mergeCell ref="V43:AC43"/>
    <mergeCell ref="AD43:BZ43"/>
    <mergeCell ref="F44:F63"/>
    <mergeCell ref="V44:AC44"/>
    <mergeCell ref="AD44:BZ44"/>
    <mergeCell ref="G45:G62"/>
    <mergeCell ref="V45:AC45"/>
    <mergeCell ref="AD45:BZ45"/>
    <mergeCell ref="H46:H61"/>
    <mergeCell ref="V46:AC46"/>
    <mergeCell ref="AD46:BZ46"/>
    <mergeCell ref="I47:I60"/>
    <mergeCell ref="P47:P60"/>
    <mergeCell ref="V47:AC47"/>
    <mergeCell ref="AD47:BZ47"/>
    <mergeCell ref="T71:CA71"/>
    <mergeCell ref="T72:CA72"/>
    <mergeCell ref="T70:CA70"/>
    <mergeCell ref="CA49:CA51"/>
    <mergeCell ref="T67:CA67"/>
    <mergeCell ref="T68:CA68"/>
    <mergeCell ref="J48:J51"/>
    <mergeCell ref="Q48:Q51"/>
    <mergeCell ref="V48:AC48"/>
    <mergeCell ref="AD48:BZ48"/>
    <mergeCell ref="K49:K50"/>
    <mergeCell ref="Z49:Z50"/>
    <mergeCell ref="AA49:AA50"/>
    <mergeCell ref="AB49:AB50"/>
    <mergeCell ref="AC49:AC50"/>
    <mergeCell ref="AH49:AH50"/>
    <mergeCell ref="AI49:AI50"/>
    <mergeCell ref="AJ49:AJ50"/>
    <mergeCell ref="AK49:AK50"/>
    <mergeCell ref="AL30:AR30"/>
    <mergeCell ref="AP8:AP9"/>
    <mergeCell ref="AQ8:AQ9"/>
    <mergeCell ref="AR8:AR9"/>
    <mergeCell ref="AS8:AS9"/>
    <mergeCell ref="AL29:AR29"/>
    <mergeCell ref="AL31:AR31"/>
    <mergeCell ref="AL32:AR32"/>
    <mergeCell ref="AL34:AR34"/>
    <mergeCell ref="AL35:AR35"/>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 ref="AT30:AZ30"/>
    <mergeCell ref="AX8:AX9"/>
    <mergeCell ref="AY8:AY9"/>
    <mergeCell ref="AZ8:AZ9"/>
    <mergeCell ref="BA8:BA9"/>
    <mergeCell ref="AT29:AZ29"/>
    <mergeCell ref="AT31:AZ31"/>
    <mergeCell ref="AT32:AZ32"/>
    <mergeCell ref="AT34:AZ34"/>
    <mergeCell ref="AT35:AZ35"/>
    <mergeCell ref="AT37:BA37"/>
    <mergeCell ref="AT39:AZ39"/>
    <mergeCell ref="BA39:BA41"/>
    <mergeCell ref="AT40:AT41"/>
    <mergeCell ref="AU40:AU41"/>
    <mergeCell ref="AV40:AW40"/>
    <mergeCell ref="AX40:AZ40"/>
    <mergeCell ref="AY41:AZ41"/>
    <mergeCell ref="AY42:AZ42"/>
    <mergeCell ref="AX49:AX50"/>
    <mergeCell ref="AY49:AY50"/>
    <mergeCell ref="AZ49:AZ50"/>
    <mergeCell ref="BA49:BA50"/>
    <mergeCell ref="BB30:BH30"/>
    <mergeCell ref="BF8:BF9"/>
    <mergeCell ref="BG8:BG9"/>
    <mergeCell ref="BH8:BH9"/>
    <mergeCell ref="BI8:BI9"/>
    <mergeCell ref="BB29:BH29"/>
    <mergeCell ref="BB31:BH31"/>
    <mergeCell ref="BB32:BH32"/>
    <mergeCell ref="BB34:BH34"/>
    <mergeCell ref="BB35:BH35"/>
    <mergeCell ref="BB37:BI37"/>
    <mergeCell ref="BB39:BH39"/>
    <mergeCell ref="BI39:BI41"/>
    <mergeCell ref="BB40:BB41"/>
    <mergeCell ref="BC40:BC41"/>
    <mergeCell ref="BD40:BE40"/>
    <mergeCell ref="BF40:BH40"/>
    <mergeCell ref="BG41:BH41"/>
    <mergeCell ref="BG42:BH42"/>
    <mergeCell ref="BF49:BF50"/>
    <mergeCell ref="BG49:BG50"/>
    <mergeCell ref="BH49:BH50"/>
    <mergeCell ref="BI49:BI50"/>
    <mergeCell ref="BJ30:BP30"/>
    <mergeCell ref="BN8:BN9"/>
    <mergeCell ref="BO8:BO9"/>
    <mergeCell ref="BP8:BP9"/>
    <mergeCell ref="BQ8:BQ9"/>
    <mergeCell ref="BJ29:BP29"/>
    <mergeCell ref="BJ31:BP31"/>
    <mergeCell ref="BJ32:BP32"/>
    <mergeCell ref="BJ34:BP34"/>
    <mergeCell ref="BJ35:BP35"/>
    <mergeCell ref="BJ37:BQ37"/>
    <mergeCell ref="BJ39:BP39"/>
    <mergeCell ref="BQ39:BQ41"/>
    <mergeCell ref="BJ40:BJ41"/>
    <mergeCell ref="BK40:BK41"/>
    <mergeCell ref="BL40:BM40"/>
    <mergeCell ref="BN40:BP40"/>
    <mergeCell ref="BO41:BP41"/>
    <mergeCell ref="BO42:BP42"/>
    <mergeCell ref="BN49:BN50"/>
    <mergeCell ref="BO49:BO50"/>
    <mergeCell ref="BP49:BP50"/>
    <mergeCell ref="BQ49:BQ50"/>
    <mergeCell ref="BR30:BX30"/>
    <mergeCell ref="BV8:BV9"/>
    <mergeCell ref="BW8:BW9"/>
    <mergeCell ref="BX8:BX9"/>
    <mergeCell ref="BY8:BY9"/>
    <mergeCell ref="BR29:BX29"/>
    <mergeCell ref="BR31:BX31"/>
    <mergeCell ref="BR32:BX32"/>
    <mergeCell ref="BR34:BX34"/>
    <mergeCell ref="BR35:BX35"/>
    <mergeCell ref="BR37:BY37"/>
    <mergeCell ref="BR39:BX39"/>
    <mergeCell ref="BY39:BY41"/>
    <mergeCell ref="BR40:BR41"/>
    <mergeCell ref="BS40:BS41"/>
    <mergeCell ref="BT40:BU40"/>
    <mergeCell ref="BV40:BX40"/>
    <mergeCell ref="BW41:BX41"/>
    <mergeCell ref="BW42:BX42"/>
    <mergeCell ref="BV49:BV50"/>
    <mergeCell ref="BW49:BW50"/>
    <mergeCell ref="BX49:BX50"/>
    <mergeCell ref="BY49:BY50"/>
    <mergeCell ref="J52:J55"/>
    <mergeCell ref="Q52:Q55"/>
    <mergeCell ref="K53:K54"/>
    <mergeCell ref="Z53:Z54"/>
    <mergeCell ref="AA53:AA54"/>
    <mergeCell ref="AB53:AB54"/>
    <mergeCell ref="AC53:AC54"/>
    <mergeCell ref="V52:AC52"/>
    <mergeCell ref="AD52:BZ52"/>
    <mergeCell ref="CA53:CA55"/>
    <mergeCell ref="AH53:AH54"/>
    <mergeCell ref="AI53:AI54"/>
    <mergeCell ref="AJ53:AJ54"/>
    <mergeCell ref="AK53:AK54"/>
    <mergeCell ref="AP53:AP54"/>
    <mergeCell ref="AQ53:AQ54"/>
    <mergeCell ref="AR53:AR54"/>
    <mergeCell ref="AS53:AS54"/>
    <mergeCell ref="AX53:AX54"/>
    <mergeCell ref="AY53:AY54"/>
    <mergeCell ref="AZ53:AZ54"/>
    <mergeCell ref="BA53:BA54"/>
    <mergeCell ref="BF53:BF54"/>
    <mergeCell ref="BG53:BG54"/>
    <mergeCell ref="BH53:BH54"/>
    <mergeCell ref="BI53:BI54"/>
    <mergeCell ref="BN53:BN54"/>
    <mergeCell ref="BO53:BO54"/>
    <mergeCell ref="BP53:BP54"/>
    <mergeCell ref="BQ53:BQ54"/>
    <mergeCell ref="BV53:BV54"/>
    <mergeCell ref="BW53:BW54"/>
    <mergeCell ref="BX53:BX54"/>
    <mergeCell ref="BY53:BY54"/>
    <mergeCell ref="J56:J59"/>
    <mergeCell ref="Q56:Q59"/>
    <mergeCell ref="K57:K58"/>
    <mergeCell ref="Z57:Z58"/>
    <mergeCell ref="AA57:AA58"/>
    <mergeCell ref="AB57:AB58"/>
    <mergeCell ref="AC57:AC58"/>
    <mergeCell ref="V56:AC56"/>
    <mergeCell ref="AD56:BZ56"/>
    <mergeCell ref="CA57:CA59"/>
    <mergeCell ref="AH57:AH58"/>
    <mergeCell ref="AI57:AI58"/>
    <mergeCell ref="AJ57:AJ58"/>
    <mergeCell ref="AK57:AK58"/>
    <mergeCell ref="AP57:AP58"/>
    <mergeCell ref="AQ57:AQ58"/>
    <mergeCell ref="AR57:AR58"/>
    <mergeCell ref="AS57:AS58"/>
    <mergeCell ref="AX57:AX58"/>
    <mergeCell ref="AY57:AY58"/>
    <mergeCell ref="AZ57:AZ58"/>
    <mergeCell ref="BA57:BA58"/>
    <mergeCell ref="BF57:BF58"/>
    <mergeCell ref="BG57:BG58"/>
    <mergeCell ref="BH57:BH58"/>
    <mergeCell ref="BI57:BI58"/>
    <mergeCell ref="BN57:BN58"/>
    <mergeCell ref="BO57:BO58"/>
    <mergeCell ref="BP57:BP58"/>
    <mergeCell ref="BQ57:BQ58"/>
    <mergeCell ref="BV57:BV58"/>
    <mergeCell ref="BW57:BW58"/>
    <mergeCell ref="BX57:BX58"/>
    <mergeCell ref="BY57:BY58"/>
  </mergeCells>
  <dataValidations count="8">
    <dataValidation type="list" allowBlank="1" showInputMessage="1" errorTitle="Ошибка" error="Выберите значение из списка" prompt="Выберите значение из списка" sqref="V983096:BZ983096 V65592:BZ65592 V131128:BZ131128 V196664:BZ196664 V262200:BZ262200 V327736:BZ327736 V393272:BZ393272 V458808:BZ458808 V524344:BZ524344 V589880:BZ589880 V655416:BZ655416 V720952:BZ720952 V786488:BZ786488 V852024:BZ852024 V917560:BZ917560">
      <formula1>kind_of_cons</formula1>
    </dataValidation>
    <dataValidation allowBlank="1" sqref="S131131:CA131137 S196667:CA196673 S262203:CA262209 S327739:CA327745 S393275:CA393281 S458811:CA458817 S524347:CA524353 S589883:CA589889 S655419:CA655425 S720955:CA720961 S786491:CA786497 S852027:CA852033 S917563:CA917569 S983099:CA983105 S65595:CA65601"/>
    <dataValidation type="list" allowBlank="1" showInputMessage="1" showErrorMessage="1" errorTitle="Ошибка" error="Выберите значение из списка" sqref="V983095:W983095 V65591:W65591 V131127:W131127 V196663:W196663 V262199:W262199 V327735:W327735 V393271:W393271 V458807:W458807 V524343:W524343 V589879:W589879 V655415:W655415 V720951:W720951 V786487:W786487 V852023:W852023 V917559:W917559 AD983095:AE983095 AD65591:AE65591 AD131127:AE131127 AD196663:AE196663 AD262199:AE262199 AD327735:AE327735 AD393271:AE393271 AD458807:AE458807 AD524343:AE524343 AD589879:AE589879 AD655415:AE655415 AD720951:AE720951 AD786487:AE786487 AD852023:AE852023 AD917559:AE917559">
      <formula1>kind_of_scheme_in</formula1>
    </dataValidation>
    <dataValidation type="textLength" operator="lessThanOrEqual" allowBlank="1" showInputMessage="1" showErrorMessage="1" errorTitle="Ошибка" error="Допускается ввод не более 900 символов!" sqref="CA65587:CA65594 CA131123:CA131130 CA196659:CA196666 CA262195:CA262202 CA327731:CA327738 CA393267:CA393274 CA458803:CA458810 CA524339:CA524346 CA589875:CA589882 CA655411:CA655418 CA720947:CA720954 CA786483:CA786490 CA852019:CA852026 CA917555:CA917562 CA983091:CA983098">
      <formula1>900</formula1>
    </dataValidation>
    <dataValidation type="list" allowBlank="1" showInputMessage="1" showErrorMessage="1" errorTitle="Ошибка" error="Выберите значение из списка" sqref="T65593 T131129 T196665 T262201 T327737 T393273 T458809 T524345 T589881 T655417 T720953 T786489 T852025 T917561 T983097">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93 Z131129 Z196665 Z262201 Z327737 Z393273 Z458809 Z524345 Z589881 Z655417 Z720953 Z786489 Z852025 Z917561 Z983097 AB65593 AB131129 AB196665 AB262201 AB327737 AB393273 AB458809 AB524345 AB589881 AB655417 AB720953 AB786489 AB852025 AB917561 AB983097 Z8 AH65593 AH131129 AH196665 AH262201 AH327737 AH393273 AH458809 AH524345 AH589881 AH655417 AH720953 AH786489 AH852025 AH917561 AH983097 AJ65593 AJ131129 AJ196665 AJ262201 AJ327737 AJ393273 AJ458809 AJ524345 AJ589881 AJ655417 AJ720953 AJ786489 AJ852025 AJ917561 AJ983097 AJ49 AH49 AH8 AJ8 AB8 AH17 AJ17 Z49 AB49 AP8 AR8 AP49 AR49 AX8 AZ8 AX49 AZ49 BF8 BH8 BF49 BH49 BN8 BP8 BN49 BP49 BV8 BX8 BV49 BX49 Z53 AB53 AH53 AJ53 AP53 AR53 AX53 AZ53 BF53 BH53 BN53 BP53 BV53 BX53 Z57 AB57 AH57 AJ57 AP57 AR57 AX57 AZ57 BF57 BH57 BN57 BP57 BV57 BX57"/>
    <dataValidation allowBlank="1" showInputMessage="1" showErrorMessage="1" prompt="Для выбора выполните двойной щелчок левой клавиши мыши по соответствующей ячейке." sqref="AA65593 AA131129 AA196665 AA262201 AA327737 AA393273 AA458809 AA524345 AA589881 AA655417 AA720953 AA786489 AA852025 AA917561 AA983097 AC131129 AC458809 AC196665 AC262201 AC327737 AC393273 AC524345 AC589881 AC655417 AC720953 AC786489 AC852025 AC917561 AC983097 AC65593 AI65593 AI131129 AI196665 AI262201 AI327737 AI393273 AI458809 AI524345 AI589881 AI655417 AI720953 AI786489 AI852025 AI917561 AI983097 AK327737:BY327737 AK393273:BY393273 AK49 AQ49 AS49 AY49 BA49 BG49 BI49 BO49 BQ49 BW49 BY49 AK524345:BY524345 AK8 AQ8 AS8 AY8 BA8 BG8 BI8 BO8 BQ8 BW8 BY8 AK589881:BY589881 AK655417:BY655417 AK17 AK720953:BY720953 AK786489:BY786489 AK852025:BY852025 AK917561:BY917561 AK983097:BY983097 AK65593:BY65593 AK131129:BY131129 AI49 AK458809:BY458809 AI8 AC8 AA8 AI17 AK196665:BY196665 AA49 AC49 AK262201:BY262201 AA53 AC53 AI53 AK53 AQ53 AS53 AY53 BA53 BG53 BI53 BO53 BQ53 BW53 BY53 AA57 AC57 AI57 AK57 AQ57 AS57 AY57 BA57 BG57 BI57 BO57 BQ57 BW57 BY57"/>
    <dataValidation allowBlank="1" promptTitle="checkPeriodRange" sqref="Y65594 Y131130 Y196666 Y262202 Y327738 Y393274 Y458810 Y524346 Y589882 Y655418 Y720954 Y786490 Y852026 Y917562 Y983098 Y9 AG65594 AG131130 AG196666 AG262202 AG327738 AG393274 AG458810 AG524346 AG589882 AG655418 AG720954 AG786490 AG852026 AG917562 AG983098 AG9 AG50 AG18 Y50 AO9 AO50 AW9 AW50 BE9 BE50 BM9 BM50 BU9 BU50 Y54 AG54 AO54 AW54 BE54 BM54 BU54 Y58 AG58 AO58 AW58 BE58 BM58 BU5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4A94A8-1BEE-1588-A458-7AE4371A6779}"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3293" width="10.57421875" hidden="1"/>
    <col min="2" max="2" style="3293" width="11.00390625" hidden="1" customWidth="1"/>
    <col min="3" max="3" style="3293" width="10.57421875" hidden="1"/>
    <col min="4" max="4" style="3293" width="11.8515625" hidden="1" customWidth="1"/>
    <col min="5" max="5" style="3293" width="10.00390625" hidden="1" customWidth="1"/>
    <col min="6" max="6" style="3293" width="8.7109375" hidden="1" customWidth="1"/>
    <col min="7" max="7" style="3293" width="7.57421875" hidden="1" customWidth="1"/>
    <col min="8" max="8" style="3293" width="11.421875" hidden="1" customWidth="1"/>
    <col min="9" max="9" style="3293" width="12.00390625" hidden="1" customWidth="1"/>
    <col min="10" max="10" style="3293" width="9.8515625" hidden="1" customWidth="1"/>
    <col min="11" max="11" style="3293" width="11.421875" hidden="1" customWidth="1"/>
    <col min="12" max="12" style="3294" width="19.140625" hidden="1" customWidth="1"/>
    <col min="13" max="14" style="3295" width="12.28125" hidden="1" customWidth="1"/>
    <col min="15" max="15" style="3295" width="23.421875" hidden="1" customWidth="1"/>
    <col min="16" max="16" style="3316" width="3.7109375" customWidth="1"/>
    <col min="17" max="18" style="3372" width="3.7109375" customWidth="1"/>
    <col min="19" max="19" style="3373" width="12.7109375" customWidth="1"/>
    <col min="20" max="20" style="2941" width="32.00390625" customWidth="1"/>
    <col min="21" max="21" style="2941" width="0.7109375" hidden="1" customWidth="1"/>
    <col min="22" max="22" style="2941" width="1.7109375" hidden="1" customWidth="1"/>
    <col min="23" max="23" style="2941" width="24.7109375" hidden="1" customWidth="1"/>
    <col min="24" max="25" style="2941" width="0.140625" hidden="1" customWidth="1"/>
    <col min="26" max="26" style="2941" width="11.7109375" hidden="1" customWidth="1"/>
    <col min="27" max="27" style="2941" width="3.7109375" hidden="1" customWidth="1"/>
    <col min="28" max="28" style="2941" width="11.7109375" hidden="1" customWidth="1"/>
    <col min="29" max="29" style="2941" width="8.57421875" hidden="1" customWidth="1"/>
    <col min="30" max="30" style="2941" width="0.140625" customWidth="1"/>
    <col min="31" max="31" style="2941" width="24.7109375" customWidth="1"/>
    <col min="32" max="33" style="2941" width="0.140625" customWidth="1"/>
    <col min="34" max="34" style="2941" width="11.7109375" customWidth="1"/>
    <col min="35" max="35" style="2941" width="3.7109375" customWidth="1"/>
    <col min="36" max="36" style="2941" width="11.7109375" customWidth="1"/>
    <col min="37" max="37" style="2941" width="8.57421875" hidden="1" customWidth="1"/>
    <col min="38" max="38" style="2941" width="4.7109375" customWidth="1"/>
    <col min="39" max="39" style="2941" width="115.7109375" customWidth="1"/>
    <col min="40" max="41" style="2612" width="10.57421875"/>
    <col min="42" max="42" style="2612" width="11.140625" customWidth="1"/>
    <col min="43" max="44" style="2612"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122</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389</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390</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391</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392</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393</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394</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395</v>
      </c>
      <c r="AO5" s="506"/>
      <c r="AP5" s="506" t="str">
        <f>IF(T5="","",T5)</f>
        <v>Источник тепловой энергии  </v>
      </c>
      <c r="AQ5" s="506"/>
      <c r="AR5" s="506"/>
    </row>
    <row customHeight="1" ht="47.25" hidden="1">
      <c r="A6" s="1393"/>
      <c r="B6" s="1393"/>
      <c r="C6" s="1393"/>
      <c r="D6" s="1393"/>
      <c r="E6" s="2108"/>
      <c r="F6" s="2108"/>
      <c r="G6" s="2108"/>
      <c r="H6" s="2108"/>
      <c r="I6" s="2109">
        <f>S5&amp;".1"</f>
      </c>
      <c r="J6" s="1393"/>
      <c r="K6" s="1393"/>
      <c r="L6" s="1394" t="s">
        <v>396</v>
      </c>
      <c r="M6" s="543"/>
      <c r="P6" s="2111">
        <v>1</v>
      </c>
      <c r="Q6" s="1361"/>
      <c r="R6" s="352"/>
      <c r="S6" s="1366">
        <f>$I6</f>
      </c>
      <c r="T6" s="273" t="s">
        <v>397</v>
      </c>
      <c r="U6" s="288"/>
      <c r="V6" s="2095"/>
      <c r="W6" s="2096"/>
      <c r="X6" s="2096"/>
      <c r="Y6" s="2096"/>
      <c r="Z6" s="2096"/>
      <c r="AA6" s="2096"/>
      <c r="AB6" s="2096"/>
      <c r="AC6" s="2097"/>
      <c r="AD6" s="2095"/>
      <c r="AE6" s="2096"/>
      <c r="AF6" s="2096"/>
      <c r="AG6" s="2096"/>
      <c r="AH6" s="2096"/>
      <c r="AI6" s="2096"/>
      <c r="AJ6" s="2096"/>
      <c r="AK6" s="2096"/>
      <c r="AL6" s="2097"/>
      <c r="AM6" s="1286" t="s">
        <v>398</v>
      </c>
      <c r="AO6" s="506"/>
      <c r="AP6" s="506" t="str">
        <f>IF(T6="","",T6)</f>
        <v>Схема подключения теплопотребляющей установки к коллектору источника тепловой энергии</v>
      </c>
      <c r="AQ6" s="506"/>
      <c r="AR6" s="506"/>
    </row>
    <row customHeight="1" ht="21" hidden="1">
      <c r="A7" s="1393"/>
      <c r="B7" s="1393"/>
      <c r="C7" s="1393"/>
      <c r="D7" s="1393"/>
      <c r="E7" s="2108"/>
      <c r="F7" s="2108"/>
      <c r="G7" s="2108"/>
      <c r="H7" s="2108"/>
      <c r="I7" s="2110"/>
      <c r="J7" s="2109">
        <f>I6&amp;".1"</f>
      </c>
      <c r="K7" s="1393"/>
      <c r="L7" s="1394" t="s">
        <v>399</v>
      </c>
      <c r="M7" s="543"/>
      <c r="N7" s="1396"/>
      <c r="P7" s="2111"/>
      <c r="Q7" s="2111">
        <v>1</v>
      </c>
      <c r="R7" s="353"/>
      <c r="S7" s="1366">
        <f>$J7</f>
      </c>
      <c r="T7" s="274" t="s">
        <v>400</v>
      </c>
      <c r="U7" s="288"/>
      <c r="V7" s="2095"/>
      <c r="W7" s="2096"/>
      <c r="X7" s="2096"/>
      <c r="Y7" s="2096"/>
      <c r="Z7" s="2096"/>
      <c r="AA7" s="2096"/>
      <c r="AB7" s="2096"/>
      <c r="AC7" s="2097"/>
      <c r="AD7" s="2095"/>
      <c r="AE7" s="2096"/>
      <c r="AF7" s="2096"/>
      <c r="AG7" s="2096"/>
      <c r="AH7" s="2096"/>
      <c r="AI7" s="2096"/>
      <c r="AJ7" s="2096"/>
      <c r="AK7" s="2096"/>
      <c r="AL7" s="2097"/>
      <c r="AM7" s="1286" t="s">
        <v>401</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402</v>
      </c>
      <c r="M8" s="543"/>
      <c r="N8" s="1396"/>
      <c r="O8" s="1396"/>
      <c r="P8" s="2111"/>
      <c r="Q8" s="2111"/>
      <c r="R8" s="353">
        <v>1</v>
      </c>
      <c r="S8" s="1366">
        <f>$K8</f>
      </c>
      <c r="T8" s="1377"/>
      <c r="U8" s="288"/>
      <c r="V8" s="320"/>
      <c r="W8" s="757"/>
      <c r="X8" s="320"/>
      <c r="Y8" s="390"/>
      <c r="Z8" s="2112"/>
      <c r="AA8" s="1981" t="s">
        <v>61</v>
      </c>
      <c r="AB8" s="2112"/>
      <c r="AC8" s="1981" t="s">
        <v>61</v>
      </c>
      <c r="AD8" s="320"/>
      <c r="AE8" s="757"/>
      <c r="AF8" s="320"/>
      <c r="AG8" s="390"/>
      <c r="AH8" s="2112"/>
      <c r="AI8" s="1981" t="s">
        <v>61</v>
      </c>
      <c r="AJ8" s="2112"/>
      <c r="AK8" s="1981" t="s">
        <v>61</v>
      </c>
      <c r="AL8" s="320"/>
      <c r="AM8" s="2137" t="s">
        <v>403</v>
      </c>
      <c r="AN8" s="517">
        <f>STRCHECKDATE(V9:AL9)</f>
      </c>
      <c r="AO8" s="506"/>
      <c r="AP8" s="506" t="str">
        <f>IF(T8="","",T8)</f>
        <v/>
      </c>
      <c r="AQ8" s="506"/>
      <c r="AR8" s="506"/>
    </row>
    <row customHeight="1" ht="0.7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6" t="s">
        <v>404</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5" hidden="1">
      <c r="A11" s="1393"/>
      <c r="B11" s="1393"/>
      <c r="C11" s="1393"/>
      <c r="D11" s="1393"/>
      <c r="E11" s="2108"/>
      <c r="F11" s="2108"/>
      <c r="G11" s="2108"/>
      <c r="H11" s="2108"/>
      <c r="I11" s="2109"/>
      <c r="J11" s="1393"/>
      <c r="K11" s="1393"/>
      <c r="L11" s="1394"/>
      <c r="M11" s="543"/>
      <c r="P11" s="2111"/>
      <c r="Q11" s="1361"/>
      <c r="R11" s="352"/>
      <c r="S11" s="1308"/>
      <c r="T11" s="275" t="s">
        <v>405</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308"/>
      <c r="T12" s="364" t="s">
        <v>406</v>
      </c>
      <c r="U12" s="367"/>
      <c r="V12" s="367"/>
      <c r="W12" s="367"/>
      <c r="X12" s="367"/>
      <c r="Y12" s="367"/>
      <c r="Z12" s="367"/>
      <c r="AA12" s="367"/>
      <c r="AB12" s="367"/>
      <c r="AC12" s="366"/>
      <c r="AD12" s="367"/>
      <c r="AE12" s="367"/>
      <c r="AF12" s="367"/>
      <c r="AG12" s="367"/>
      <c r="AH12" s="367"/>
      <c r="AI12" s="367"/>
      <c r="AJ12" s="367"/>
      <c r="AK12" s="366"/>
      <c r="AL12" s="367"/>
      <c r="AM12" s="291"/>
      <c r="AO12" s="506"/>
      <c r="AP12" s="506" t="str">
        <f>IF(T12="","",T12)</f>
        <v>Добавить схему подключения</v>
      </c>
      <c r="AQ12" s="506"/>
      <c r="AR12" s="506"/>
    </row>
    <row s="3274"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167</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274"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168</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274"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169</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61</v>
      </c>
      <c r="AJ17" s="2105"/>
      <c r="AK17" s="2104" t="s">
        <v>61</v>
      </c>
    </row>
    <row customHeight="1" ht="14.25" hidden="1">
      <c r="AD18" s="1390"/>
      <c r="AE18" s="1390"/>
      <c r="AF18" s="1390"/>
      <c r="AG18" s="324" t="str">
        <f>AH17&amp;"-"&amp;AJ17</f>
        <v>-</v>
      </c>
      <c r="AH18" s="2104"/>
      <c r="AI18" s="2104"/>
      <c r="AJ18" s="2104"/>
      <c r="AK18" s="2104"/>
    </row>
    <row customHeight="1" ht="14.25" hidden="1">
      <c r="AK19" s="323"/>
    </row>
    <row s="3293" customFormat="1" customHeight="1" ht="22.5" hidden="1">
      <c r="L20" s="1359"/>
      <c r="M20" s="1392"/>
      <c r="N20" s="1392"/>
      <c r="O20" s="1397" t="s">
        <v>407</v>
      </c>
      <c r="P20" s="1392"/>
      <c r="Q20" s="1401"/>
      <c r="R20" s="1401"/>
      <c r="S20" s="735"/>
      <c r="Z20" s="1397"/>
      <c r="AB20" s="1397"/>
      <c r="AC20" s="1396"/>
      <c r="AH20" s="1397"/>
      <c r="AJ20" s="1397"/>
      <c r="AK20" s="1396"/>
      <c r="AN20" s="517"/>
      <c r="AO20" s="517"/>
      <c r="AP20" s="517"/>
      <c r="AQ20" s="517"/>
      <c r="AR20" s="517"/>
    </row>
    <row s="3293" customFormat="1" customHeight="1" ht="14.25" hidden="1">
      <c r="L21" s="1359"/>
      <c r="M21" s="1392"/>
      <c r="N21" s="1392"/>
      <c r="O21" s="1392"/>
      <c r="P21" s="1392"/>
      <c r="Q21" s="1401"/>
      <c r="R21" s="1401"/>
      <c r="S21" s="735"/>
      <c r="AC21" s="1396"/>
      <c r="AK21" s="1396"/>
      <c r="AN21" s="517"/>
      <c r="AO21" s="517"/>
      <c r="AP21" s="517"/>
      <c r="AQ21" s="517"/>
      <c r="AR21" s="517"/>
    </row>
    <row s="3293" customFormat="1" customHeight="1" ht="33.75" hidden="1">
      <c r="L22" s="1359"/>
      <c r="M22" s="1392"/>
      <c r="N22" s="1392"/>
      <c r="O22" s="1394" t="s">
        <v>408</v>
      </c>
      <c r="P22" s="1392"/>
      <c r="Q22" s="1401"/>
      <c r="R22" s="1401"/>
      <c r="S22" s="735"/>
      <c r="T22" s="1168" t="s">
        <v>409</v>
      </c>
      <c r="AA22" s="172" t="s">
        <v>410</v>
      </c>
      <c r="AC22" s="172" t="s">
        <v>411</v>
      </c>
      <c r="AD22" s="1168" t="s">
        <v>409</v>
      </c>
      <c r="AI22" s="172" t="s">
        <v>412</v>
      </c>
      <c r="AK22" s="172" t="s">
        <v>411</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27.75">
      <c r="Q26" s="377"/>
      <c r="R26" s="377"/>
      <c r="S26" s="214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МУП г. Азова "Теплоэнерго"</v>
      </c>
      <c r="T27" s="2141"/>
      <c r="U27" s="2141"/>
      <c r="V27" s="2141"/>
      <c r="W27" s="2141"/>
      <c r="X27" s="2141"/>
      <c r="Y27" s="2141"/>
      <c r="Z27" s="2141"/>
      <c r="AA27" s="2141"/>
      <c r="AB27" s="2141"/>
      <c r="AC27" s="2141"/>
      <c r="AD27" s="2141"/>
      <c r="AE27" s="2141"/>
      <c r="AF27" s="2141"/>
      <c r="AG27" s="2141"/>
      <c r="AH27" s="2141"/>
      <c r="AI27" s="2141"/>
      <c r="AJ27" s="2141"/>
      <c r="AK27" s="126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06"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Региональная служба по тарифам Ростовской области</v>
      </c>
      <c r="W29" s="2100"/>
      <c r="X29" s="2100"/>
      <c r="Y29" s="2100"/>
      <c r="Z29" s="2100"/>
      <c r="AA29" s="2100"/>
      <c r="AB29" s="2100"/>
      <c r="AC29" s="322"/>
      <c r="AD29" s="2100" t="str">
        <f>IF(TITLE_NAME_OR_PR_CHANGE="",IF(TITLE_NAME_OR_PR="","",TITLE_NAME_OR_PR),TITLE_NAME_OR_PR_CHANGE)</f>
        <v>Региональная служба по тарифам Ростовской области</v>
      </c>
      <c r="AE29" s="2100"/>
      <c r="AF29" s="2100"/>
      <c r="AG29" s="2100"/>
      <c r="AH29" s="2100"/>
      <c r="AI29" s="2100"/>
      <c r="AJ29" s="2100"/>
      <c r="AK29" s="322"/>
      <c r="AL29" s="322"/>
      <c r="AM29" s="268"/>
      <c r="AN29" s="368"/>
      <c r="AO29" s="368"/>
      <c r="AP29" s="368"/>
      <c r="AQ29" s="368"/>
      <c r="AR29" s="368"/>
    </row>
    <row s="3306" customFormat="1" customHeight="1" ht="18.75">
      <c r="A30" s="1398"/>
      <c r="B30" s="1398"/>
      <c r="C30" s="1398"/>
      <c r="D30" s="1398"/>
      <c r="E30" s="1398"/>
      <c r="F30" s="1398"/>
      <c r="G30" s="1398"/>
      <c r="H30" s="1398"/>
      <c r="I30" s="1398"/>
      <c r="J30" s="1398"/>
      <c r="K30" s="1398"/>
      <c r="L30" s="1399"/>
      <c r="M30" s="1398"/>
      <c r="N30" s="1398"/>
      <c r="O30" s="1398"/>
      <c r="S30" s="2098" t="s">
        <v>413</v>
      </c>
      <c r="T30" s="2098"/>
      <c r="U30" s="1402"/>
      <c r="V30" s="2099" t="str">
        <f>IF(TITLE_DATE_PR_CHANGE="",IF(TITLE_DATE_PR="","",TITLE_DATE_PR),TITLE_DATE_PR_CHANGE)</f>
        <v>45245.61800925926</v>
      </c>
      <c r="W30" s="2099"/>
      <c r="X30" s="2099"/>
      <c r="Y30" s="2099"/>
      <c r="Z30" s="2099"/>
      <c r="AA30" s="2099"/>
      <c r="AB30" s="2099"/>
      <c r="AC30" s="322"/>
      <c r="AD30" s="2099" t="str">
        <f>IF(TITLE_DATE_PR_CHANGE="",IF(TITLE_DATE_PR="","",TITLE_DATE_PR),TITLE_DATE_PR_CHANGE)</f>
        <v>45245.61800925926</v>
      </c>
      <c r="AE30" s="2099"/>
      <c r="AF30" s="2099"/>
      <c r="AG30" s="2099"/>
      <c r="AH30" s="2099"/>
      <c r="AI30" s="2099"/>
      <c r="AJ30" s="2099"/>
      <c r="AK30" s="322"/>
      <c r="AL30" s="322"/>
      <c r="AM30" s="268"/>
      <c r="AN30" s="368"/>
      <c r="AO30" s="368"/>
      <c r="AP30" s="368"/>
      <c r="AQ30" s="368"/>
      <c r="AR30" s="368"/>
    </row>
    <row s="3306" customFormat="1" customHeight="1" ht="18.75">
      <c r="A31" s="1398"/>
      <c r="B31" s="1398"/>
      <c r="C31" s="1398"/>
      <c r="D31" s="1398"/>
      <c r="E31" s="1398"/>
      <c r="F31" s="1398"/>
      <c r="G31" s="1398"/>
      <c r="H31" s="1398"/>
      <c r="I31" s="1398"/>
      <c r="J31" s="1398"/>
      <c r="K31" s="1398"/>
      <c r="L31" s="1399"/>
      <c r="M31" s="1398"/>
      <c r="N31" s="1398"/>
      <c r="O31" s="1398"/>
      <c r="S31" s="2098" t="s">
        <v>414</v>
      </c>
      <c r="T31" s="2098"/>
      <c r="U31" s="1402"/>
      <c r="V31" s="2100" t="str">
        <f>IF(TITLE_NUMBER_PR_CHANGE="",IF(TITLE_NUMBER_PR="","",TITLE_NUMBER_PR),TITLE_NUMBER_PR_CHANGE)</f>
        <v>550</v>
      </c>
      <c r="W31" s="2100"/>
      <c r="X31" s="2100"/>
      <c r="Y31" s="2100"/>
      <c r="Z31" s="2100"/>
      <c r="AA31" s="2100"/>
      <c r="AB31" s="2100"/>
      <c r="AC31" s="322"/>
      <c r="AD31" s="2100" t="str">
        <f>IF(TITLE_NUMBER_PR_CHANGE="",IF(TITLE_NUMBER_PR="","",TITLE_NUMBER_PR),TITLE_NUMBER_PR_CHANGE)</f>
        <v>550</v>
      </c>
      <c r="AE31" s="2100"/>
      <c r="AF31" s="2100"/>
      <c r="AG31" s="2100"/>
      <c r="AH31" s="2100"/>
      <c r="AI31" s="2100"/>
      <c r="AJ31" s="2100"/>
      <c r="AK31" s="322"/>
      <c r="AL31" s="322"/>
      <c r="AM31" s="268"/>
      <c r="AN31" s="368"/>
      <c r="AO31" s="368"/>
      <c r="AP31" s="368"/>
      <c r="AQ31" s="368"/>
      <c r="AR31" s="368"/>
    </row>
    <row s="3306"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https://rst.donland.ru</v>
      </c>
      <c r="W32" s="2100"/>
      <c r="X32" s="2100"/>
      <c r="Y32" s="2100"/>
      <c r="Z32" s="2100"/>
      <c r="AA32" s="2100"/>
      <c r="AB32" s="2100"/>
      <c r="AC32" s="322"/>
      <c r="AD32" s="2100" t="str">
        <f>IF(TITLE_IST_PUB_CHANGE="",IF(TITLE_IST_PUB="","",TITLE_IST_PUB),TITLE_IST_PUB_CHANGE)</f>
        <v>https://rst.donland.ru</v>
      </c>
      <c r="AE32" s="2100"/>
      <c r="AF32" s="2100"/>
      <c r="AG32" s="2100"/>
      <c r="AH32" s="2100"/>
      <c r="AI32" s="2100"/>
      <c r="AJ32" s="2100"/>
      <c r="AK32" s="322"/>
      <c r="AL32" s="322"/>
      <c r="AM32" s="268"/>
      <c r="AN32" s="368"/>
      <c r="AO32" s="368"/>
      <c r="AP32" s="368"/>
      <c r="AQ32" s="368"/>
      <c r="AR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06" customFormat="1" customHeight="1" ht="18.75" hidden="1">
      <c r="A34" s="1398"/>
      <c r="B34" s="1398"/>
      <c r="C34" s="1398"/>
      <c r="D34" s="1398"/>
      <c r="E34" s="1398"/>
      <c r="F34" s="1398"/>
      <c r="G34" s="1398"/>
      <c r="H34" s="1398"/>
      <c r="I34" s="1398"/>
      <c r="J34" s="1398"/>
      <c r="K34" s="1398"/>
      <c r="L34" s="1399"/>
      <c r="M34" s="1398"/>
      <c r="N34" s="1398"/>
      <c r="O34" s="1398"/>
      <c r="S34" s="2098" t="s">
        <v>415</v>
      </c>
      <c r="T34" s="2098"/>
      <c r="U34" s="1402"/>
      <c r="V34" s="2099" t="str">
        <f>IF(TITLE_DATE_PR_CHANGE="",IF(TITLE_DATE_PR="","",TITLE_DATE_PR),TITLE_DATE_PR_CHANGE)</f>
        <v>45245.61800925926</v>
      </c>
      <c r="W34" s="2099"/>
      <c r="X34" s="2099"/>
      <c r="Y34" s="2099"/>
      <c r="Z34" s="2099"/>
      <c r="AA34" s="2099"/>
      <c r="AB34" s="2099"/>
      <c r="AC34" s="322"/>
      <c r="AD34" s="2099" t="str">
        <f>IF(TITLE_DATE_PR_CHANGE="",IF(TITLE_DATE_PR="","",TITLE_DATE_PR),TITLE_DATE_PR_CHANGE)</f>
        <v>45245.61800925926</v>
      </c>
      <c r="AE34" s="2099"/>
      <c r="AF34" s="2099"/>
      <c r="AG34" s="2099"/>
      <c r="AH34" s="2099"/>
      <c r="AI34" s="2099"/>
      <c r="AJ34" s="2099"/>
      <c r="AK34" s="322"/>
      <c r="AL34" s="322"/>
      <c r="AM34" s="268"/>
      <c r="AN34" s="368"/>
      <c r="AO34" s="368"/>
      <c r="AP34" s="368"/>
      <c r="AQ34" s="368"/>
      <c r="AR34" s="368"/>
    </row>
    <row s="3306" customFormat="1" customHeight="1" ht="18.75" hidden="1">
      <c r="A35" s="1398"/>
      <c r="B35" s="1398"/>
      <c r="C35" s="1398"/>
      <c r="D35" s="1398"/>
      <c r="E35" s="1398"/>
      <c r="F35" s="1398"/>
      <c r="G35" s="1398"/>
      <c r="H35" s="1398"/>
      <c r="I35" s="1398"/>
      <c r="J35" s="1398"/>
      <c r="K35" s="1398"/>
      <c r="L35" s="1399"/>
      <c r="M35" s="1398"/>
      <c r="N35" s="1398"/>
      <c r="O35" s="1398"/>
      <c r="S35" s="2098" t="s">
        <v>416</v>
      </c>
      <c r="T35" s="2098"/>
      <c r="U35" s="1402"/>
      <c r="V35" s="2100" t="str">
        <f>IF(TITLE_NUMBER_PR_CHANGE="",IF(TITLE_NUMBER_PR="","",TITLE_NUMBER_PR),TITLE_NUMBER_PR_CHANGE)</f>
        <v>550</v>
      </c>
      <c r="W35" s="2100"/>
      <c r="X35" s="2100"/>
      <c r="Y35" s="2100"/>
      <c r="Z35" s="2100"/>
      <c r="AA35" s="2100"/>
      <c r="AB35" s="2100"/>
      <c r="AC35" s="322"/>
      <c r="AD35" s="2100" t="str">
        <f>IF(TITLE_NUMBER_PR_CHANGE="",IF(TITLE_NUMBER_PR="","",TITLE_NUMBER_PR),TITLE_NUMBER_PR_CHANGE)</f>
        <v>550</v>
      </c>
      <c r="AE35" s="2100"/>
      <c r="AF35" s="2100"/>
      <c r="AG35" s="2100"/>
      <c r="AH35" s="2100"/>
      <c r="AI35" s="2100"/>
      <c r="AJ35" s="2100"/>
      <c r="AK35" s="322"/>
      <c r="AL35" s="322"/>
      <c r="AM35" s="268"/>
      <c r="AN35" s="368"/>
      <c r="AO35" s="368"/>
      <c r="AP35" s="368"/>
      <c r="AQ35" s="368"/>
      <c r="AR35" s="368"/>
    </row>
    <row s="3306"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417</v>
      </c>
      <c r="AD36" s="322"/>
      <c r="AE36" s="322"/>
      <c r="AF36" s="322"/>
      <c r="AG36" s="322"/>
      <c r="AH36" s="322"/>
      <c r="AI36" s="322"/>
      <c r="AJ36" s="322"/>
      <c r="AK36" s="266" t="s">
        <v>417</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291</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292</v>
      </c>
    </row>
    <row customHeight="1" ht="14.25">
      <c r="Q39" s="377"/>
      <c r="R39" s="377"/>
      <c r="S39" s="2125" t="s">
        <v>87</v>
      </c>
      <c r="T39" s="2062" t="s">
        <v>418</v>
      </c>
      <c r="U39" s="289"/>
      <c r="V39" s="2126" t="s">
        <v>419</v>
      </c>
      <c r="W39" s="2127"/>
      <c r="X39" s="2146"/>
      <c r="Y39" s="2146"/>
      <c r="Z39" s="2127"/>
      <c r="AA39" s="2127"/>
      <c r="AB39" s="2128"/>
      <c r="AC39" s="2129" t="s">
        <v>420</v>
      </c>
      <c r="AD39" s="2126" t="s">
        <v>419</v>
      </c>
      <c r="AE39" s="2127"/>
      <c r="AF39" s="2146"/>
      <c r="AG39" s="2146"/>
      <c r="AH39" s="2127"/>
      <c r="AI39" s="2127"/>
      <c r="AJ39" s="2128"/>
      <c r="AK39" s="2129" t="s">
        <v>421</v>
      </c>
      <c r="AL39" s="2132" t="s">
        <v>422</v>
      </c>
      <c r="AM39" s="1971"/>
    </row>
    <row customHeight="1" ht="23.25">
      <c r="Q40" s="377"/>
      <c r="R40" s="377"/>
      <c r="S40" s="2125"/>
      <c r="T40" s="2062"/>
      <c r="U40" s="1038"/>
      <c r="V40" s="2142" t="s">
        <v>423</v>
      </c>
      <c r="W40" s="2144" t="s">
        <v>424</v>
      </c>
      <c r="X40" s="1406" t="s">
        <v>425</v>
      </c>
      <c r="Y40" s="1406"/>
      <c r="Z40" s="2119" t="s">
        <v>426</v>
      </c>
      <c r="AA40" s="2119"/>
      <c r="AB40" s="2120"/>
      <c r="AC40" s="2130"/>
      <c r="AD40" s="2142" t="s">
        <v>423</v>
      </c>
      <c r="AE40" s="2144" t="s">
        <v>424</v>
      </c>
      <c r="AF40" s="1406" t="s">
        <v>425</v>
      </c>
      <c r="AG40" s="1406"/>
      <c r="AH40" s="2119" t="s">
        <v>426</v>
      </c>
      <c r="AI40" s="2119"/>
      <c r="AJ40" s="2120"/>
      <c r="AK40" s="2130"/>
      <c r="AL40" s="2133"/>
      <c r="AM40" s="1971"/>
    </row>
    <row s="3819" customFormat="1" customHeight="1" ht="23.25">
      <c r="A41" s="1400"/>
      <c r="B41" s="1400" t="s">
        <v>134</v>
      </c>
      <c r="C41" s="1400" t="s">
        <v>135</v>
      </c>
      <c r="D41" s="1400" t="s">
        <v>136</v>
      </c>
      <c r="E41" s="1394" t="s">
        <v>427</v>
      </c>
      <c r="F41" s="1394" t="s">
        <v>428</v>
      </c>
      <c r="G41" s="1394" t="s">
        <v>429</v>
      </c>
      <c r="H41" s="1394" t="s">
        <v>430</v>
      </c>
      <c r="I41" s="1394" t="s">
        <v>431</v>
      </c>
      <c r="J41" s="1394" t="s">
        <v>432</v>
      </c>
      <c r="K41" s="1394" t="s">
        <v>433</v>
      </c>
      <c r="L41" s="1394" t="s">
        <v>408</v>
      </c>
      <c r="M41" s="1392"/>
      <c r="N41" s="1392"/>
      <c r="O41" s="1392"/>
      <c r="P41" s="1358"/>
      <c r="Q41" s="377"/>
      <c r="R41" s="377"/>
      <c r="S41" s="2125"/>
      <c r="T41" s="2062"/>
      <c r="U41" s="290"/>
      <c r="V41" s="2143"/>
      <c r="W41" s="2145"/>
      <c r="X41" s="1403" t="s">
        <v>434</v>
      </c>
      <c r="Y41" s="1403" t="s">
        <v>435</v>
      </c>
      <c r="Z41" s="1364" t="s">
        <v>436</v>
      </c>
      <c r="AA41" s="2121" t="s">
        <v>437</v>
      </c>
      <c r="AB41" s="2122"/>
      <c r="AC41" s="2131"/>
      <c r="AD41" s="2143"/>
      <c r="AE41" s="2145"/>
      <c r="AF41" s="1403" t="s">
        <v>434</v>
      </c>
      <c r="AG41" s="1403" t="s">
        <v>435</v>
      </c>
      <c r="AH41" s="1364" t="s">
        <v>436</v>
      </c>
      <c r="AI41" s="2121" t="s">
        <v>437</v>
      </c>
      <c r="AJ41" s="2122"/>
      <c r="AK41" s="2131"/>
      <c r="AL41" s="2134"/>
      <c r="AM41" s="1971"/>
      <c r="AN41" s="517"/>
      <c r="AO41" s="506"/>
      <c r="AP41" s="506"/>
      <c r="AQ41" s="506"/>
      <c r="AR41" s="506"/>
    </row>
    <row s="2611"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108</v>
      </c>
      <c r="T42" s="1281" t="s">
        <v>109</v>
      </c>
      <c r="U42" s="1263" t="str">
        <f>OFFSET(U42,0,-1)</f>
        <v>2</v>
      </c>
      <c r="V42" s="1365">
        <f>OFFSET(V42,0,-1)+1</f>
        <v>3</v>
      </c>
      <c r="W42" s="1365"/>
      <c r="X42" s="1371">
        <f>OFFSET(X42,0,-1)+1</f>
        <v>1</v>
      </c>
      <c r="Y42" s="1371">
        <f>OFFSET(Y42,0,-1)+1</f>
        <v>2</v>
      </c>
      <c r="Z42" s="1365">
        <f>OFFSET(Z42,0,-1)+1</f>
        <v>3</v>
      </c>
      <c r="AA42" s="2123">
        <f>OFFSET(AA42,0,-1)+1</f>
        <v>4</v>
      </c>
      <c r="AB42" s="2123"/>
      <c r="AC42" s="1365">
        <f>OFFSET(AC42,0,-2)+1</f>
        <v>5</v>
      </c>
      <c r="AD42" s="1365">
        <f>OFFSET(AD42,0,-1)+1</f>
        <v>6</v>
      </c>
      <c r="AE42" s="1365"/>
      <c r="AF42" s="1371">
        <f>OFFSET(AF42,0,-1)+1</f>
        <v>1</v>
      </c>
      <c r="AG42" s="1371">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197</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122</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6"/>
      <c r="AP43" s="506" t="str">
        <f>IF(T43="","",T43)</f>
        <v>Наименование тарифа</v>
      </c>
      <c r="AQ43" s="506"/>
      <c r="AR43" s="506"/>
    </row>
    <row customHeight="1" ht="21">
      <c r="A44" s="1393" t="s">
        <v>197</v>
      </c>
      <c r="B44" s="1393" t="s">
        <v>198</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390</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391</v>
      </c>
      <c r="AO44" s="506"/>
      <c r="AP44" s="506" t="str">
        <f>IF(T44="","",T44)</f>
        <v>Территория действия тарифа</v>
      </c>
      <c r="AQ44" s="506"/>
      <c r="AR44" s="506"/>
    </row>
    <row customHeight="1" ht="23.25">
      <c r="A45" s="1393" t="s">
        <v>197</v>
      </c>
      <c r="B45" s="1393" t="s">
        <v>198</v>
      </c>
      <c r="C45" s="1393" t="s">
        <v>199</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392</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393</v>
      </c>
      <c r="AO45" s="506"/>
      <c r="AP45" s="506" t="str">
        <f>IF(T45="","",T45)</f>
        <v>Наименование системы теплоснабжения </v>
      </c>
      <c r="AQ45" s="506"/>
      <c r="AR45" s="506"/>
    </row>
    <row customHeight="1" ht="21">
      <c r="A46" s="1393" t="s">
        <v>197</v>
      </c>
      <c r="B46" s="1393" t="s">
        <v>198</v>
      </c>
      <c r="C46" s="1393" t="s">
        <v>199</v>
      </c>
      <c r="D46" s="1393" t="s">
        <v>200</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394</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395</v>
      </c>
      <c r="AO46" s="506"/>
      <c r="AP46" s="506" t="str">
        <f>IF(T46="","",T46)</f>
        <v>Источник тепловой энергии  </v>
      </c>
      <c r="AQ46" s="506"/>
      <c r="AR46" s="506"/>
    </row>
    <row customHeight="1" ht="47.25">
      <c r="A47" s="1393" t="s">
        <v>197</v>
      </c>
      <c r="B47" s="1393" t="s">
        <v>198</v>
      </c>
      <c r="C47" s="1393" t="s">
        <v>199</v>
      </c>
      <c r="D47" s="1393" t="s">
        <v>200</v>
      </c>
      <c r="E47" s="2108"/>
      <c r="F47" s="2108"/>
      <c r="G47" s="2108"/>
      <c r="H47" s="2108"/>
      <c r="I47" s="2109" t="str">
        <f>S46&amp;".1"</f>
        <v>....1</v>
      </c>
      <c r="J47" s="1393"/>
      <c r="K47" s="1393"/>
      <c r="L47" s="1394" t="s">
        <v>396</v>
      </c>
      <c r="P47" s="2111">
        <v>1</v>
      </c>
      <c r="Q47" s="1361"/>
      <c r="R47" s="352"/>
      <c r="S47" s="1366" t="str">
        <f>$I47</f>
        <v>....1</v>
      </c>
      <c r="T47" s="273" t="s">
        <v>397</v>
      </c>
      <c r="U47" s="288"/>
      <c r="V47" s="2095"/>
      <c r="W47" s="2096"/>
      <c r="X47" s="2096"/>
      <c r="Y47" s="2096"/>
      <c r="Z47" s="2096"/>
      <c r="AA47" s="2096"/>
      <c r="AB47" s="2096"/>
      <c r="AC47" s="2097"/>
      <c r="AD47" s="2095"/>
      <c r="AE47" s="2096"/>
      <c r="AF47" s="2096"/>
      <c r="AG47" s="2096"/>
      <c r="AH47" s="2096"/>
      <c r="AI47" s="2096"/>
      <c r="AJ47" s="2096"/>
      <c r="AK47" s="2096"/>
      <c r="AL47" s="2097"/>
      <c r="AM47" s="1286" t="s">
        <v>398</v>
      </c>
      <c r="AO47" s="506"/>
      <c r="AP47" s="506" t="str">
        <f>IF(T47="","",T47)</f>
        <v>Схема подключения теплопотребляющей установки к коллектору источника тепловой энергии</v>
      </c>
      <c r="AQ47" s="506"/>
      <c r="AR47" s="506"/>
    </row>
    <row customHeight="1" ht="21">
      <c r="A48" s="1393" t="s">
        <v>197</v>
      </c>
      <c r="B48" s="1393" t="s">
        <v>198</v>
      </c>
      <c r="C48" s="1393" t="s">
        <v>199</v>
      </c>
      <c r="D48" s="1393" t="s">
        <v>200</v>
      </c>
      <c r="E48" s="2108"/>
      <c r="F48" s="2108"/>
      <c r="G48" s="2108"/>
      <c r="H48" s="2108"/>
      <c r="I48" s="2110"/>
      <c r="J48" s="2109" t="str">
        <f>I47&amp;".1"</f>
        <v>....1.1</v>
      </c>
      <c r="K48" s="1393"/>
      <c r="L48" s="1394" t="s">
        <v>399</v>
      </c>
      <c r="P48" s="2111"/>
      <c r="Q48" s="2111">
        <v>1</v>
      </c>
      <c r="R48" s="353"/>
      <c r="S48" s="1366" t="str">
        <f>$J48</f>
        <v>....1.1</v>
      </c>
      <c r="T48" s="274" t="s">
        <v>400</v>
      </c>
      <c r="U48" s="288"/>
      <c r="V48" s="2095"/>
      <c r="W48" s="2096"/>
      <c r="X48" s="2096"/>
      <c r="Y48" s="2096"/>
      <c r="Z48" s="2096"/>
      <c r="AA48" s="2096"/>
      <c r="AB48" s="2096"/>
      <c r="AC48" s="2097"/>
      <c r="AD48" s="2095"/>
      <c r="AE48" s="2096"/>
      <c r="AF48" s="2096"/>
      <c r="AG48" s="2096"/>
      <c r="AH48" s="2096"/>
      <c r="AI48" s="2096"/>
      <c r="AJ48" s="2096"/>
      <c r="AK48" s="2096"/>
      <c r="AL48" s="2097"/>
      <c r="AM48" s="1286" t="s">
        <v>401</v>
      </c>
      <c r="AO48" s="506"/>
      <c r="AP48" s="506" t="str">
        <f>IF(T48="","",T48)</f>
        <v>Группа потребителей</v>
      </c>
      <c r="AQ48" s="506"/>
      <c r="AR48" s="506"/>
    </row>
    <row customHeight="1" ht="21">
      <c r="A49" s="1393" t="s">
        <v>197</v>
      </c>
      <c r="B49" s="1393" t="s">
        <v>198</v>
      </c>
      <c r="C49" s="1393" t="s">
        <v>199</v>
      </c>
      <c r="D49" s="1393" t="s">
        <v>200</v>
      </c>
      <c r="E49" s="2108"/>
      <c r="F49" s="2108"/>
      <c r="G49" s="2108"/>
      <c r="H49" s="2108"/>
      <c r="I49" s="2110"/>
      <c r="J49" s="2110"/>
      <c r="K49" s="2109" t="str">
        <f>J48&amp;".1"</f>
        <v>....1.1.1</v>
      </c>
      <c r="L49" s="1394" t="s">
        <v>402</v>
      </c>
      <c r="P49" s="2111"/>
      <c r="Q49" s="2111"/>
      <c r="R49" s="353">
        <v>1</v>
      </c>
      <c r="S49" s="1366" t="str">
        <f>$K49</f>
        <v>....1.1.1</v>
      </c>
      <c r="T49" s="1377"/>
      <c r="U49" s="288"/>
      <c r="V49" s="320"/>
      <c r="W49" s="757"/>
      <c r="X49" s="320"/>
      <c r="Y49" s="390"/>
      <c r="Z49" s="2112"/>
      <c r="AA49" s="1981" t="s">
        <v>61</v>
      </c>
      <c r="AB49" s="2112"/>
      <c r="AC49" s="1981" t="s">
        <v>61</v>
      </c>
      <c r="AD49" s="320"/>
      <c r="AE49" s="757"/>
      <c r="AF49" s="320"/>
      <c r="AG49" s="390"/>
      <c r="AH49" s="2112"/>
      <c r="AI49" s="1981" t="s">
        <v>61</v>
      </c>
      <c r="AJ49" s="2114"/>
      <c r="AK49" s="1981" t="s">
        <v>61</v>
      </c>
      <c r="AL49" s="1378"/>
      <c r="AM49" s="2137" t="s">
        <v>403</v>
      </c>
      <c r="AN49" s="517">
        <f>STRCHECKDATE(V50:AL50)</f>
      </c>
      <c r="AO49" s="506"/>
      <c r="AP49" s="506" t="str">
        <f>IF(T49="","",T49)</f>
        <v/>
      </c>
      <c r="AQ49" s="506"/>
      <c r="AR49" s="506"/>
    </row>
    <row customHeight="1" ht="0.75">
      <c r="A50" s="1393" t="s">
        <v>197</v>
      </c>
      <c r="B50" s="1393" t="s">
        <v>198</v>
      </c>
      <c r="C50" s="1393" t="s">
        <v>199</v>
      </c>
      <c r="D50" s="1393" t="s">
        <v>200</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197</v>
      </c>
      <c r="B51" s="1393" t="s">
        <v>198</v>
      </c>
      <c r="C51" s="1393" t="s">
        <v>199</v>
      </c>
      <c r="D51" s="1393" t="s">
        <v>200</v>
      </c>
      <c r="E51" s="2108"/>
      <c r="F51" s="2108"/>
      <c r="G51" s="2108"/>
      <c r="H51" s="2108"/>
      <c r="I51" s="2110"/>
      <c r="J51" s="2109"/>
      <c r="K51" s="1393"/>
      <c r="L51" s="1394"/>
      <c r="P51" s="2111"/>
      <c r="Q51" s="2111"/>
      <c r="R51" s="352"/>
      <c r="S51" s="1308"/>
      <c r="T51" s="276" t="s">
        <v>404</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197</v>
      </c>
      <c r="B52" s="1393" t="s">
        <v>198</v>
      </c>
      <c r="C52" s="1393" t="s">
        <v>199</v>
      </c>
      <c r="D52" s="1393" t="s">
        <v>200</v>
      </c>
      <c r="E52" s="2108"/>
      <c r="F52" s="2108"/>
      <c r="G52" s="2108"/>
      <c r="H52" s="2108"/>
      <c r="I52" s="2109"/>
      <c r="J52" s="1393"/>
      <c r="K52" s="1393"/>
      <c r="L52" s="1394"/>
      <c r="P52" s="2111"/>
      <c r="Q52" s="1361"/>
      <c r="R52" s="352"/>
      <c r="S52" s="1308"/>
      <c r="T52" s="275" t="s">
        <v>405</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14.25">
      <c r="A53" s="1393" t="s">
        <v>197</v>
      </c>
      <c r="B53" s="1393" t="s">
        <v>198</v>
      </c>
      <c r="C53" s="1393" t="s">
        <v>199</v>
      </c>
      <c r="D53" s="1393" t="s">
        <v>200</v>
      </c>
      <c r="E53" s="2108"/>
      <c r="F53" s="2108"/>
      <c r="G53" s="2108"/>
      <c r="H53" s="2107"/>
      <c r="I53" s="1393"/>
      <c r="J53" s="1393"/>
      <c r="K53" s="1393"/>
      <c r="L53" s="1394"/>
      <c r="M53" s="1395"/>
      <c r="N53" s="1395"/>
      <c r="O53" s="543"/>
      <c r="P53" s="356"/>
      <c r="Q53" s="376"/>
      <c r="R53" s="351"/>
      <c r="S53" s="1308"/>
      <c r="T53" s="364" t="s">
        <v>406</v>
      </c>
      <c r="U53" s="367"/>
      <c r="V53" s="367"/>
      <c r="W53" s="367"/>
      <c r="X53" s="367"/>
      <c r="Y53" s="367"/>
      <c r="Z53" s="367"/>
      <c r="AA53" s="367"/>
      <c r="AB53" s="367"/>
      <c r="AC53" s="366"/>
      <c r="AD53" s="367"/>
      <c r="AE53" s="367"/>
      <c r="AF53" s="367"/>
      <c r="AG53" s="367"/>
      <c r="AH53" s="367"/>
      <c r="AI53" s="367"/>
      <c r="AJ53" s="367"/>
      <c r="AK53" s="366"/>
      <c r="AL53" s="367"/>
      <c r="AM53" s="291"/>
      <c r="AO53" s="506"/>
      <c r="AP53" s="506" t="str">
        <f>IF(T53="","",T53)</f>
        <v>Добавить схему подключения</v>
      </c>
      <c r="AQ53" s="506"/>
      <c r="AR53" s="506"/>
    </row>
    <row s="3274" customFormat="1" customHeight="1" ht="0.75">
      <c r="A54" s="1373" t="s">
        <v>197</v>
      </c>
      <c r="B54" s="1373" t="s">
        <v>198</v>
      </c>
      <c r="C54" s="1373" t="s">
        <v>199</v>
      </c>
      <c r="D54" s="1344"/>
      <c r="E54" s="2108"/>
      <c r="F54" s="2108"/>
      <c r="G54" s="2107"/>
      <c r="H54" s="1344"/>
      <c r="I54" s="1344"/>
      <c r="J54" s="1344"/>
      <c r="K54" s="1344"/>
      <c r="L54" s="1369"/>
      <c r="M54" s="1345"/>
      <c r="N54" s="1345"/>
      <c r="P54" s="1346"/>
      <c r="Q54" s="1347"/>
      <c r="R54" s="1346"/>
      <c r="S54" s="1352"/>
      <c r="T54" s="1355" t="s">
        <v>167</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274" customFormat="1" customHeight="1" ht="0.75">
      <c r="A55" s="1373" t="s">
        <v>197</v>
      </c>
      <c r="B55" s="1373" t="s">
        <v>198</v>
      </c>
      <c r="C55" s="1344"/>
      <c r="D55" s="1344"/>
      <c r="E55" s="2108"/>
      <c r="F55" s="2107"/>
      <c r="G55" s="1344"/>
      <c r="H55" s="1344"/>
      <c r="I55" s="1344"/>
      <c r="J55" s="1344"/>
      <c r="K55" s="1344"/>
      <c r="L55" s="1369"/>
      <c r="M55" s="1351"/>
      <c r="N55" s="1351"/>
      <c r="P55" s="1346"/>
      <c r="Q55" s="1347"/>
      <c r="R55" s="1346"/>
      <c r="S55" s="1352"/>
      <c r="T55" s="1355" t="s">
        <v>168</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2" customFormat="1" customHeight="1" ht="0.75">
      <c r="A56" s="1373" t="s">
        <v>197</v>
      </c>
      <c r="B56" s="1373"/>
      <c r="C56" s="1373"/>
      <c r="D56" s="1373"/>
      <c r="E56" s="2107"/>
      <c r="F56" s="1373"/>
      <c r="G56" s="1373"/>
      <c r="H56" s="1373"/>
      <c r="I56" s="1373"/>
      <c r="J56" s="1373"/>
      <c r="K56" s="1373"/>
      <c r="L56" s="1376"/>
      <c r="M56" s="1351"/>
      <c r="N56" s="1351"/>
      <c r="O56" s="524"/>
      <c r="P56" s="385"/>
      <c r="Q56" s="1374"/>
      <c r="R56" s="385"/>
      <c r="S56" s="1352"/>
      <c r="T56" s="1355" t="s">
        <v>169</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274"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170</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27">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7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14.25">
      <c r="O61" s="543"/>
    </row>
    <row customHeight="1" ht="18">
      <c r="O62" s="543"/>
      <c r="S62" s="1273"/>
      <c r="T62" s="2106"/>
      <c r="U62" s="2106"/>
      <c r="V62" s="2106"/>
      <c r="W62" s="2106"/>
      <c r="X62" s="2106"/>
      <c r="Y62" s="2106"/>
      <c r="Z62" s="2106"/>
      <c r="AA62" s="2106"/>
      <c r="AB62" s="2106"/>
      <c r="AC62" s="2106"/>
      <c r="AD62" s="2106"/>
      <c r="AE62" s="2106"/>
      <c r="AF62" s="2106"/>
      <c r="AG62" s="2106"/>
      <c r="AH62" s="2106"/>
      <c r="AI62" s="2106"/>
      <c r="AJ62" s="2106"/>
      <c r="AK62" s="2106"/>
      <c r="AL62" s="2106"/>
      <c r="AM62" s="2106"/>
    </row>
    <row customHeight="1" ht="18">
      <c r="O63" s="543"/>
      <c r="T63" s="2106"/>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38.25">
      <c r="O64" s="543"/>
      <c r="S64" s="1273"/>
      <c r="T64" s="2106"/>
      <c r="U64" s="2106"/>
      <c r="V64" s="2106"/>
      <c r="W64" s="2106"/>
      <c r="X64" s="2106"/>
      <c r="Y64" s="2106"/>
      <c r="Z64" s="2106"/>
      <c r="AA64" s="2106"/>
      <c r="AB64" s="2106"/>
      <c r="AC64" s="2106"/>
      <c r="AD64" s="2106"/>
      <c r="AE64" s="2106"/>
      <c r="AF64" s="2106"/>
      <c r="AG64" s="2106"/>
      <c r="AH64" s="2106"/>
      <c r="AI64" s="2106"/>
      <c r="AJ64" s="2106"/>
      <c r="AK64" s="2106"/>
      <c r="AL64" s="2106"/>
      <c r="AM64" s="2106"/>
    </row>
  </sheetData>
  <sheetProtection formatColumns="0" formatRows="0" autoFilter="0" sort="0" insertRows="0" insertColumns="1" deleteRows="0" deleteColumns="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018D88-BF88-3E29-24A9-21A52CF14308}"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3293" width="10.57421875" hidden="1"/>
    <col min="2" max="2" style="3293" width="11.00390625" hidden="1" customWidth="1"/>
    <col min="3" max="3" style="3293" width="10.57421875" hidden="1"/>
    <col min="4" max="4" style="3293" width="11.8515625" hidden="1" customWidth="1"/>
    <col min="5" max="5" style="3293" width="10.00390625" hidden="1" customWidth="1"/>
    <col min="6" max="6" style="3293" width="8.7109375" hidden="1" customWidth="1"/>
    <col min="7" max="7" style="3293" width="7.57421875" hidden="1" customWidth="1"/>
    <col min="8" max="8" style="3293" width="11.421875" hidden="1" customWidth="1"/>
    <col min="9" max="9" style="3293" width="12.00390625" hidden="1" customWidth="1"/>
    <col min="10" max="10" style="3293" width="9.8515625" hidden="1" customWidth="1"/>
    <col min="11" max="11" style="3293" width="11.421875" hidden="1" customWidth="1"/>
    <col min="12" max="12" style="3294" width="19.140625" hidden="1" customWidth="1"/>
    <col min="13" max="14" style="3295" width="12.28125" hidden="1" customWidth="1"/>
    <col min="15" max="15" style="3295" width="23.421875" hidden="1" customWidth="1"/>
    <col min="16" max="16" style="3316" width="3.7109375" hidden="1" customWidth="1"/>
    <col min="17" max="18" style="3372" width="3.7109375" customWidth="1"/>
    <col min="19" max="19" style="3373" width="12.7109375" customWidth="1"/>
    <col min="20" max="20" style="2941" width="32.00390625" customWidth="1"/>
    <col min="21" max="21" style="2941" width="0.140625" customWidth="1"/>
    <col min="22" max="22" style="2941" width="24.7109375" hidden="1" customWidth="1"/>
    <col min="23" max="23" style="2941" width="0.140625" hidden="1" customWidth="1"/>
    <col min="24" max="25" style="2941" width="24.7109375" hidden="1" customWidth="1"/>
    <col min="26" max="26" style="2941" width="11.7109375" hidden="1" customWidth="1"/>
    <col min="27" max="27" style="2941" width="3.7109375" hidden="1" customWidth="1"/>
    <col min="28" max="28" style="2941" width="11.7109375" hidden="1" customWidth="1"/>
    <col min="29" max="29" style="2941" width="8.57421875" hidden="1" customWidth="1"/>
    <col min="30" max="30" style="2941" width="24.7109375" customWidth="1"/>
    <col min="31" max="31" style="2941" width="0.140625" customWidth="1"/>
    <col min="32" max="33" style="2941" width="24.7109375" customWidth="1"/>
    <col min="34" max="34" style="2941" width="11.7109375" customWidth="1"/>
    <col min="35" max="35" style="2941" width="3.7109375" customWidth="1"/>
    <col min="36" max="36" style="2941" width="11.7109375" customWidth="1"/>
    <col min="37" max="37" style="2941" width="8.57421875" hidden="1" customWidth="1"/>
    <col min="38" max="38" style="2941" width="4.7109375" customWidth="1"/>
    <col min="39" max="39" style="2941" width="115.7109375" customWidth="1"/>
    <col min="40" max="41" style="2612" width="10.57421875"/>
    <col min="42" max="42" style="2612" width="11.140625" customWidth="1"/>
    <col min="43" max="44" style="2612"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122</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389</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390</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391</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392</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393</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394</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395</v>
      </c>
      <c r="AO5" s="506"/>
      <c r="AP5" s="506" t="str">
        <f>IF(T5="","",T5)</f>
        <v>Источник тепловой энергии  </v>
      </c>
      <c r="AQ5" s="506"/>
      <c r="AR5" s="506"/>
    </row>
    <row customHeight="1" ht="14.25" hidden="1">
      <c r="A6" s="1393"/>
      <c r="B6" s="1393"/>
      <c r="C6" s="1393"/>
      <c r="D6" s="1393"/>
      <c r="E6" s="2108"/>
      <c r="F6" s="2108"/>
      <c r="G6" s="2108"/>
      <c r="H6" s="2108"/>
      <c r="I6" s="2109">
        <f>S5&amp;".1"</f>
      </c>
      <c r="J6" s="1393"/>
      <c r="K6" s="1393"/>
      <c r="L6" s="1394" t="s">
        <v>396</v>
      </c>
      <c r="M6" s="543"/>
      <c r="P6" s="2111">
        <v>1</v>
      </c>
      <c r="Q6" s="1361"/>
      <c r="R6" s="352"/>
      <c r="S6" s="1049"/>
      <c r="T6" s="1413"/>
      <c r="U6" s="1414"/>
      <c r="V6" s="2147"/>
      <c r="W6" s="2148"/>
      <c r="X6" s="2148"/>
      <c r="Y6" s="2148"/>
      <c r="Z6" s="2148"/>
      <c r="AA6" s="2148"/>
      <c r="AB6" s="2148"/>
      <c r="AC6" s="2149"/>
      <c r="AD6" s="2147"/>
      <c r="AE6" s="2148"/>
      <c r="AF6" s="2148"/>
      <c r="AG6" s="2148"/>
      <c r="AH6" s="2148"/>
      <c r="AI6" s="2148"/>
      <c r="AJ6" s="2148"/>
      <c r="AK6" s="2148"/>
      <c r="AL6" s="2149"/>
      <c r="AM6" s="1415"/>
      <c r="AO6" s="506"/>
      <c r="AP6" s="506" t="str">
        <f>IF(T6="","",T6)</f>
        <v/>
      </c>
      <c r="AQ6" s="506"/>
      <c r="AR6" s="506"/>
    </row>
    <row customHeight="1" ht="21" hidden="1">
      <c r="A7" s="1393"/>
      <c r="B7" s="1393"/>
      <c r="C7" s="1393"/>
      <c r="D7" s="1393"/>
      <c r="E7" s="2108"/>
      <c r="F7" s="2108"/>
      <c r="G7" s="2108"/>
      <c r="H7" s="2108"/>
      <c r="I7" s="2110"/>
      <c r="J7" s="2109">
        <f>I6&amp;".1"</f>
      </c>
      <c r="K7" s="1393"/>
      <c r="L7" s="1394" t="s">
        <v>399</v>
      </c>
      <c r="M7" s="543"/>
      <c r="N7" s="1396"/>
      <c r="P7" s="2111"/>
      <c r="Q7" s="2111">
        <v>1</v>
      </c>
      <c r="R7" s="353"/>
      <c r="S7" s="1366">
        <f>$J7</f>
      </c>
      <c r="T7" s="274" t="s">
        <v>400</v>
      </c>
      <c r="U7" s="288"/>
      <c r="V7" s="2095"/>
      <c r="W7" s="2096"/>
      <c r="X7" s="2096"/>
      <c r="Y7" s="2096"/>
      <c r="Z7" s="2096"/>
      <c r="AA7" s="2096"/>
      <c r="AB7" s="2096"/>
      <c r="AC7" s="2097"/>
      <c r="AD7" s="2095"/>
      <c r="AE7" s="2096"/>
      <c r="AF7" s="2096"/>
      <c r="AG7" s="2096"/>
      <c r="AH7" s="2096"/>
      <c r="AI7" s="2096"/>
      <c r="AJ7" s="2096"/>
      <c r="AK7" s="2096"/>
      <c r="AL7" s="2097"/>
      <c r="AM7" s="1286" t="s">
        <v>401</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402</v>
      </c>
      <c r="M8" s="543"/>
      <c r="N8" s="1396"/>
      <c r="O8" s="1396"/>
      <c r="P8" s="2111"/>
      <c r="Q8" s="2111"/>
      <c r="R8" s="353">
        <v>1</v>
      </c>
      <c r="S8" s="1366">
        <f>$K8</f>
      </c>
      <c r="T8" s="1377"/>
      <c r="U8" s="288"/>
      <c r="V8" s="757"/>
      <c r="W8" s="320"/>
      <c r="X8" s="757"/>
      <c r="Y8" s="1285"/>
      <c r="Z8" s="2112"/>
      <c r="AA8" s="1981" t="s">
        <v>61</v>
      </c>
      <c r="AB8" s="2112"/>
      <c r="AC8" s="1981" t="s">
        <v>61</v>
      </c>
      <c r="AD8" s="757"/>
      <c r="AE8" s="320"/>
      <c r="AF8" s="757"/>
      <c r="AG8" s="1285"/>
      <c r="AH8" s="2112"/>
      <c r="AI8" s="1981" t="s">
        <v>61</v>
      </c>
      <c r="AJ8" s="2112"/>
      <c r="AK8" s="1981" t="s">
        <v>61</v>
      </c>
      <c r="AL8" s="320"/>
      <c r="AM8" s="2137" t="s">
        <v>403</v>
      </c>
      <c r="AN8" s="517">
        <f>STRCHECKDATE(V9:AL9)</f>
      </c>
      <c r="AO8" s="506"/>
      <c r="AP8" s="506" t="str">
        <f>IF(T8="","",T8)</f>
        <v/>
      </c>
      <c r="AQ8" s="506"/>
      <c r="AR8" s="506"/>
    </row>
    <row customHeight="1" ht="0.7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5" t="s">
        <v>404</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5" hidden="1">
      <c r="A11" s="1393"/>
      <c r="B11" s="1393"/>
      <c r="C11" s="1393"/>
      <c r="D11" s="1393"/>
      <c r="E11" s="2108"/>
      <c r="F11" s="2108"/>
      <c r="G11" s="2108"/>
      <c r="H11" s="2108"/>
      <c r="I11" s="2109"/>
      <c r="J11" s="1393"/>
      <c r="K11" s="1393"/>
      <c r="L11" s="1394"/>
      <c r="M11" s="543"/>
      <c r="P11" s="2111"/>
      <c r="Q11" s="1361"/>
      <c r="R11" s="352"/>
      <c r="S11" s="1308"/>
      <c r="T11" s="364" t="s">
        <v>405</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416"/>
      <c r="T12" s="1417"/>
      <c r="U12" s="1418"/>
      <c r="V12" s="1418"/>
      <c r="W12" s="1418"/>
      <c r="X12" s="1418"/>
      <c r="Y12" s="1418"/>
      <c r="Z12" s="1418"/>
      <c r="AA12" s="1418"/>
      <c r="AB12" s="1418"/>
      <c r="AC12" s="1418"/>
      <c r="AD12" s="1418"/>
      <c r="AE12" s="1418"/>
      <c r="AF12" s="1418"/>
      <c r="AG12" s="1418"/>
      <c r="AH12" s="1418"/>
      <c r="AI12" s="1418"/>
      <c r="AJ12" s="1418"/>
      <c r="AK12" s="1418"/>
      <c r="AL12" s="1418"/>
      <c r="AM12" s="1419"/>
      <c r="AO12" s="506"/>
      <c r="AP12" s="506" t="str">
        <f>IF(T12="","",T12)</f>
        <v/>
      </c>
      <c r="AQ12" s="506"/>
      <c r="AR12" s="506"/>
    </row>
    <row s="3274"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167</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274"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168</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274"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169</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61</v>
      </c>
      <c r="AJ17" s="2105"/>
      <c r="AK17" s="2104" t="s">
        <v>61</v>
      </c>
    </row>
    <row customHeight="1" ht="14.25" hidden="1">
      <c r="AD18" s="1390"/>
      <c r="AE18" s="1390"/>
      <c r="AF18" s="1390"/>
      <c r="AG18" s="324" t="str">
        <f>AH17&amp;"-"&amp;AJ17</f>
        <v>-</v>
      </c>
      <c r="AH18" s="2104"/>
      <c r="AI18" s="2104"/>
      <c r="AJ18" s="2104"/>
      <c r="AK18" s="2104"/>
    </row>
    <row customHeight="1" ht="14.25" hidden="1">
      <c r="AK19" s="323"/>
    </row>
    <row s="3293" customFormat="1" customHeight="1" ht="22.5" hidden="1">
      <c r="L20" s="1359"/>
      <c r="M20" s="1392"/>
      <c r="N20" s="1392"/>
      <c r="O20" s="1397" t="s">
        <v>407</v>
      </c>
      <c r="P20" s="1392"/>
      <c r="Q20" s="1401"/>
      <c r="R20" s="1401"/>
      <c r="S20" s="735"/>
      <c r="Z20" s="1397"/>
      <c r="AB20" s="1397"/>
      <c r="AC20" s="1396"/>
      <c r="AH20" s="1397"/>
      <c r="AJ20" s="1397"/>
      <c r="AK20" s="1396"/>
      <c r="AN20" s="517"/>
      <c r="AO20" s="517"/>
      <c r="AP20" s="517"/>
      <c r="AQ20" s="517"/>
      <c r="AR20" s="517"/>
    </row>
    <row s="3293" customFormat="1" customHeight="1" ht="14.25" hidden="1">
      <c r="L21" s="1359"/>
      <c r="M21" s="1392"/>
      <c r="N21" s="1392"/>
      <c r="O21" s="1392"/>
      <c r="P21" s="1392"/>
      <c r="Q21" s="1401"/>
      <c r="R21" s="1401"/>
      <c r="S21" s="735"/>
      <c r="AC21" s="1396"/>
      <c r="AK21" s="1396"/>
      <c r="AN21" s="517"/>
      <c r="AO21" s="517"/>
      <c r="AP21" s="517"/>
      <c r="AQ21" s="517"/>
      <c r="AR21" s="517"/>
    </row>
    <row s="3293" customFormat="1" customHeight="1" ht="14.25" hidden="1">
      <c r="L22" s="1359"/>
      <c r="M22" s="1392"/>
      <c r="N22" s="1392"/>
      <c r="O22" s="1394" t="s">
        <v>408</v>
      </c>
      <c r="P22" s="1392"/>
      <c r="Q22" s="1401"/>
      <c r="R22" s="1401"/>
      <c r="S22" s="735"/>
      <c r="T22" s="1168" t="s">
        <v>409</v>
      </c>
      <c r="AA22" s="172" t="s">
        <v>410</v>
      </c>
      <c r="AC22" s="172" t="s">
        <v>411</v>
      </c>
      <c r="AD22" s="1168" t="s">
        <v>409</v>
      </c>
      <c r="AI22" s="172" t="s">
        <v>412</v>
      </c>
      <c r="AK22" s="172" t="s">
        <v>411</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51">
      <c r="Q26" s="377"/>
      <c r="R26" s="377"/>
      <c r="S26" s="214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МУП г. Азова "Теплоэнерго"</v>
      </c>
      <c r="T27" s="2141"/>
      <c r="U27" s="2141"/>
      <c r="V27" s="2141"/>
      <c r="W27" s="2141"/>
      <c r="X27" s="2141"/>
      <c r="Y27" s="2141"/>
      <c r="Z27" s="2141"/>
      <c r="AA27" s="2141"/>
      <c r="AB27" s="2141"/>
      <c r="AC27" s="2141"/>
      <c r="AD27" s="2141"/>
      <c r="AE27" s="2141"/>
      <c r="AF27" s="2141"/>
      <c r="AG27" s="2141"/>
      <c r="AH27" s="2141"/>
      <c r="AI27" s="2141"/>
      <c r="AJ27" s="2141"/>
      <c r="AK27" s="126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06"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Региональная служба по тарифам Ростовской области</v>
      </c>
      <c r="W29" s="2100"/>
      <c r="X29" s="2100"/>
      <c r="Y29" s="2100"/>
      <c r="Z29" s="2100"/>
      <c r="AA29" s="2100"/>
      <c r="AB29" s="2100"/>
      <c r="AC29" s="322"/>
      <c r="AD29" s="2100" t="str">
        <f>IF(TITLE_NAME_OR_PR_CHANGE="",IF(TITLE_NAME_OR_PR="","",TITLE_NAME_OR_PR),TITLE_NAME_OR_PR_CHANGE)</f>
        <v>Региональная служба по тарифам Ростовской области</v>
      </c>
      <c r="AE29" s="2100"/>
      <c r="AF29" s="2100"/>
      <c r="AG29" s="2100"/>
      <c r="AH29" s="2100"/>
      <c r="AI29" s="2100"/>
      <c r="AJ29" s="2100"/>
      <c r="AK29" s="322"/>
      <c r="AL29" s="322"/>
      <c r="AM29" s="268"/>
      <c r="AN29" s="368"/>
      <c r="AO29" s="368"/>
      <c r="AP29" s="368"/>
      <c r="AQ29" s="368"/>
      <c r="AR29" s="368"/>
    </row>
    <row s="3306" customFormat="1" customHeight="1" ht="18.75">
      <c r="A30" s="1398"/>
      <c r="B30" s="1398"/>
      <c r="C30" s="1398"/>
      <c r="D30" s="1398"/>
      <c r="E30" s="1398"/>
      <c r="F30" s="1398"/>
      <c r="G30" s="1398"/>
      <c r="H30" s="1398"/>
      <c r="I30" s="1398"/>
      <c r="J30" s="1398"/>
      <c r="K30" s="1398"/>
      <c r="L30" s="1399"/>
      <c r="M30" s="1398"/>
      <c r="N30" s="1398"/>
      <c r="O30" s="1398"/>
      <c r="S30" s="2098" t="s">
        <v>413</v>
      </c>
      <c r="T30" s="2098"/>
      <c r="U30" s="1402"/>
      <c r="V30" s="2099" t="str">
        <f>IF(TITLE_DATE_PR_CHANGE="",IF(TITLE_DATE_PR="","",TITLE_DATE_PR),TITLE_DATE_PR_CHANGE)</f>
        <v>45245.61800925926</v>
      </c>
      <c r="W30" s="2099"/>
      <c r="X30" s="2099"/>
      <c r="Y30" s="2099"/>
      <c r="Z30" s="2099"/>
      <c r="AA30" s="2099"/>
      <c r="AB30" s="2099"/>
      <c r="AC30" s="322"/>
      <c r="AD30" s="2099" t="str">
        <f>IF(TITLE_DATE_PR_CHANGE="",IF(TITLE_DATE_PR="","",TITLE_DATE_PR),TITLE_DATE_PR_CHANGE)</f>
        <v>45245.61800925926</v>
      </c>
      <c r="AE30" s="2099"/>
      <c r="AF30" s="2099"/>
      <c r="AG30" s="2099"/>
      <c r="AH30" s="2099"/>
      <c r="AI30" s="2099"/>
      <c r="AJ30" s="2099"/>
      <c r="AK30" s="322"/>
      <c r="AL30" s="322"/>
      <c r="AM30" s="268"/>
      <c r="AN30" s="368"/>
      <c r="AO30" s="368"/>
      <c r="AP30" s="368"/>
      <c r="AQ30" s="368"/>
      <c r="AR30" s="368"/>
    </row>
    <row s="3306" customFormat="1" customHeight="1" ht="18.75">
      <c r="A31" s="1398"/>
      <c r="B31" s="1398"/>
      <c r="C31" s="1398"/>
      <c r="D31" s="1398"/>
      <c r="E31" s="1398"/>
      <c r="F31" s="1398"/>
      <c r="G31" s="1398"/>
      <c r="H31" s="1398"/>
      <c r="I31" s="1398"/>
      <c r="J31" s="1398"/>
      <c r="K31" s="1398"/>
      <c r="L31" s="1399"/>
      <c r="M31" s="1398"/>
      <c r="N31" s="1398"/>
      <c r="O31" s="1398"/>
      <c r="S31" s="2098" t="s">
        <v>414</v>
      </c>
      <c r="T31" s="2098"/>
      <c r="U31" s="1402"/>
      <c r="V31" s="2100" t="str">
        <f>IF(TITLE_NUMBER_PR_CHANGE="",IF(TITLE_NUMBER_PR="","",TITLE_NUMBER_PR),TITLE_NUMBER_PR_CHANGE)</f>
        <v>550</v>
      </c>
      <c r="W31" s="2100"/>
      <c r="X31" s="2100"/>
      <c r="Y31" s="2100"/>
      <c r="Z31" s="2100"/>
      <c r="AA31" s="2100"/>
      <c r="AB31" s="2100"/>
      <c r="AC31" s="322"/>
      <c r="AD31" s="2100" t="str">
        <f>IF(TITLE_NUMBER_PR_CHANGE="",IF(TITLE_NUMBER_PR="","",TITLE_NUMBER_PR),TITLE_NUMBER_PR_CHANGE)</f>
        <v>550</v>
      </c>
      <c r="AE31" s="2100"/>
      <c r="AF31" s="2100"/>
      <c r="AG31" s="2100"/>
      <c r="AH31" s="2100"/>
      <c r="AI31" s="2100"/>
      <c r="AJ31" s="2100"/>
      <c r="AK31" s="322"/>
      <c r="AL31" s="322"/>
      <c r="AM31" s="268"/>
      <c r="AN31" s="368"/>
      <c r="AO31" s="368"/>
      <c r="AP31" s="368"/>
      <c r="AQ31" s="368"/>
      <c r="AR31" s="368"/>
    </row>
    <row s="3306"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https://rst.donland.ru</v>
      </c>
      <c r="W32" s="2100"/>
      <c r="X32" s="2100"/>
      <c r="Y32" s="2100"/>
      <c r="Z32" s="2100"/>
      <c r="AA32" s="2100"/>
      <c r="AB32" s="2100"/>
      <c r="AC32" s="322"/>
      <c r="AD32" s="2100" t="str">
        <f>IF(TITLE_IST_PUB_CHANGE="",IF(TITLE_IST_PUB="","",TITLE_IST_PUB),TITLE_IST_PUB_CHANGE)</f>
        <v>https://rst.donland.ru</v>
      </c>
      <c r="AE32" s="2100"/>
      <c r="AF32" s="2100"/>
      <c r="AG32" s="2100"/>
      <c r="AH32" s="2100"/>
      <c r="AI32" s="2100"/>
      <c r="AJ32" s="2100"/>
      <c r="AK32" s="322"/>
      <c r="AL32" s="322"/>
      <c r="AM32" s="268"/>
      <c r="AN32" s="368"/>
      <c r="AO32" s="368"/>
      <c r="AP32" s="368"/>
      <c r="AQ32" s="368"/>
      <c r="AR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06" customFormat="1" customHeight="1" ht="18.75" hidden="1">
      <c r="A34" s="1398"/>
      <c r="B34" s="1398"/>
      <c r="C34" s="1398"/>
      <c r="D34" s="1398"/>
      <c r="E34" s="1398"/>
      <c r="F34" s="1398"/>
      <c r="G34" s="1398"/>
      <c r="H34" s="1398"/>
      <c r="I34" s="1398"/>
      <c r="J34" s="1398"/>
      <c r="K34" s="1398"/>
      <c r="L34" s="1399"/>
      <c r="M34" s="1398"/>
      <c r="N34" s="1398"/>
      <c r="O34" s="1398"/>
      <c r="S34" s="2098" t="s">
        <v>415</v>
      </c>
      <c r="T34" s="2098"/>
      <c r="U34" s="1402"/>
      <c r="V34" s="2099" t="str">
        <f>IF(TITLE_DATE_PR_CHANGE="",IF(TITLE_DATE_PR="","",TITLE_DATE_PR),TITLE_DATE_PR_CHANGE)</f>
        <v>45245.61800925926</v>
      </c>
      <c r="W34" s="2099"/>
      <c r="X34" s="2099"/>
      <c r="Y34" s="2099"/>
      <c r="Z34" s="2099"/>
      <c r="AA34" s="2099"/>
      <c r="AB34" s="2099"/>
      <c r="AC34" s="322"/>
      <c r="AD34" s="2099" t="str">
        <f>IF(TITLE_DATE_PR_CHANGE="",IF(TITLE_DATE_PR="","",TITLE_DATE_PR),TITLE_DATE_PR_CHANGE)</f>
        <v>45245.61800925926</v>
      </c>
      <c r="AE34" s="2099"/>
      <c r="AF34" s="2099"/>
      <c r="AG34" s="2099"/>
      <c r="AH34" s="2099"/>
      <c r="AI34" s="2099"/>
      <c r="AJ34" s="2099"/>
      <c r="AK34" s="322"/>
      <c r="AL34" s="322"/>
      <c r="AM34" s="268"/>
      <c r="AN34" s="368"/>
      <c r="AO34" s="368"/>
      <c r="AP34" s="368"/>
      <c r="AQ34" s="368"/>
      <c r="AR34" s="368"/>
    </row>
    <row s="3306" customFormat="1" customHeight="1" ht="18.75" hidden="1">
      <c r="A35" s="1398"/>
      <c r="B35" s="1398"/>
      <c r="C35" s="1398"/>
      <c r="D35" s="1398"/>
      <c r="E35" s="1398"/>
      <c r="F35" s="1398"/>
      <c r="G35" s="1398"/>
      <c r="H35" s="1398"/>
      <c r="I35" s="1398"/>
      <c r="J35" s="1398"/>
      <c r="K35" s="1398"/>
      <c r="L35" s="1399"/>
      <c r="M35" s="1398"/>
      <c r="N35" s="1398"/>
      <c r="O35" s="1398"/>
      <c r="S35" s="2098" t="s">
        <v>416</v>
      </c>
      <c r="T35" s="2098"/>
      <c r="U35" s="1402"/>
      <c r="V35" s="2100" t="str">
        <f>IF(TITLE_NUMBER_PR_CHANGE="",IF(TITLE_NUMBER_PR="","",TITLE_NUMBER_PR),TITLE_NUMBER_PR_CHANGE)</f>
        <v>550</v>
      </c>
      <c r="W35" s="2100"/>
      <c r="X35" s="2100"/>
      <c r="Y35" s="2100"/>
      <c r="Z35" s="2100"/>
      <c r="AA35" s="2100"/>
      <c r="AB35" s="2100"/>
      <c r="AC35" s="322"/>
      <c r="AD35" s="2100" t="str">
        <f>IF(TITLE_NUMBER_PR_CHANGE="",IF(TITLE_NUMBER_PR="","",TITLE_NUMBER_PR),TITLE_NUMBER_PR_CHANGE)</f>
        <v>550</v>
      </c>
      <c r="AE35" s="2100"/>
      <c r="AF35" s="2100"/>
      <c r="AG35" s="2100"/>
      <c r="AH35" s="2100"/>
      <c r="AI35" s="2100"/>
      <c r="AJ35" s="2100"/>
      <c r="AK35" s="322"/>
      <c r="AL35" s="322"/>
      <c r="AM35" s="268"/>
      <c r="AN35" s="368"/>
      <c r="AO35" s="368"/>
      <c r="AP35" s="368"/>
      <c r="AQ35" s="368"/>
      <c r="AR35" s="368"/>
    </row>
    <row s="3306"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417</v>
      </c>
      <c r="AD36" s="322"/>
      <c r="AE36" s="322"/>
      <c r="AF36" s="322"/>
      <c r="AG36" s="322"/>
      <c r="AH36" s="322"/>
      <c r="AI36" s="322"/>
      <c r="AJ36" s="322"/>
      <c r="AK36" s="266" t="s">
        <v>417</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291</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292</v>
      </c>
    </row>
    <row customHeight="1" ht="14.25">
      <c r="Q39" s="377"/>
      <c r="R39" s="377"/>
      <c r="S39" s="2125" t="s">
        <v>87</v>
      </c>
      <c r="T39" s="2062" t="s">
        <v>418</v>
      </c>
      <c r="U39" s="289"/>
      <c r="V39" s="2126" t="s">
        <v>419</v>
      </c>
      <c r="W39" s="2127"/>
      <c r="X39" s="2127"/>
      <c r="Y39" s="2127"/>
      <c r="Z39" s="2127"/>
      <c r="AA39" s="2127"/>
      <c r="AB39" s="2128"/>
      <c r="AC39" s="2129" t="s">
        <v>420</v>
      </c>
      <c r="AD39" s="2126" t="s">
        <v>419</v>
      </c>
      <c r="AE39" s="2127"/>
      <c r="AF39" s="2127"/>
      <c r="AG39" s="2127"/>
      <c r="AH39" s="2127"/>
      <c r="AI39" s="2127"/>
      <c r="AJ39" s="2128"/>
      <c r="AK39" s="2129" t="s">
        <v>421</v>
      </c>
      <c r="AL39" s="2132" t="s">
        <v>422</v>
      </c>
      <c r="AM39" s="1971"/>
    </row>
    <row customHeight="1" ht="33.75">
      <c r="Q40" s="377"/>
      <c r="R40" s="377"/>
      <c r="S40" s="2125"/>
      <c r="T40" s="2062"/>
      <c r="U40" s="1038"/>
      <c r="V40" s="2135" t="s">
        <v>423</v>
      </c>
      <c r="W40" s="2116"/>
      <c r="X40" s="2118" t="s">
        <v>425</v>
      </c>
      <c r="Y40" s="2120"/>
      <c r="Z40" s="2118" t="s">
        <v>426</v>
      </c>
      <c r="AA40" s="2119"/>
      <c r="AB40" s="2120"/>
      <c r="AC40" s="2130"/>
      <c r="AD40" s="2135" t="s">
        <v>423</v>
      </c>
      <c r="AE40" s="2116"/>
      <c r="AF40" s="2118" t="s">
        <v>425</v>
      </c>
      <c r="AG40" s="2120"/>
      <c r="AH40" s="2118" t="s">
        <v>426</v>
      </c>
      <c r="AI40" s="2119"/>
      <c r="AJ40" s="2120"/>
      <c r="AK40" s="2130"/>
      <c r="AL40" s="2133"/>
      <c r="AM40" s="1971"/>
    </row>
    <row customHeight="1" ht="33.75">
      <c r="A41" s="1400"/>
      <c r="B41" s="1400" t="s">
        <v>134</v>
      </c>
      <c r="C41" s="1400" t="s">
        <v>135</v>
      </c>
      <c r="D41" s="1400" t="s">
        <v>136</v>
      </c>
      <c r="E41" s="1394" t="s">
        <v>427</v>
      </c>
      <c r="F41" s="1394" t="s">
        <v>428</v>
      </c>
      <c r="G41" s="1394" t="s">
        <v>429</v>
      </c>
      <c r="H41" s="1394" t="s">
        <v>430</v>
      </c>
      <c r="I41" s="1394" t="s">
        <v>431</v>
      </c>
      <c r="J41" s="1394" t="s">
        <v>432</v>
      </c>
      <c r="K41" s="1394" t="s">
        <v>433</v>
      </c>
      <c r="L41" s="1394" t="s">
        <v>408</v>
      </c>
      <c r="Q41" s="377"/>
      <c r="R41" s="377"/>
      <c r="S41" s="2125"/>
      <c r="T41" s="2062"/>
      <c r="U41" s="290"/>
      <c r="V41" s="2136"/>
      <c r="W41" s="2117"/>
      <c r="X41" s="1237" t="s">
        <v>434</v>
      </c>
      <c r="Y41" s="1237" t="s">
        <v>435</v>
      </c>
      <c r="Z41" s="1368" t="s">
        <v>436</v>
      </c>
      <c r="AA41" s="2121" t="s">
        <v>437</v>
      </c>
      <c r="AB41" s="2122"/>
      <c r="AC41" s="2131"/>
      <c r="AD41" s="2136"/>
      <c r="AE41" s="2117"/>
      <c r="AF41" s="1237" t="s">
        <v>434</v>
      </c>
      <c r="AG41" s="1237" t="s">
        <v>435</v>
      </c>
      <c r="AH41" s="1368" t="s">
        <v>436</v>
      </c>
      <c r="AI41" s="2121" t="s">
        <v>437</v>
      </c>
      <c r="AJ41" s="2122"/>
      <c r="AK41" s="2131"/>
      <c r="AL41" s="2134"/>
      <c r="AM41" s="1971"/>
    </row>
    <row s="2611"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108</v>
      </c>
      <c r="T42" s="1281" t="s">
        <v>109</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173</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122</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6"/>
      <c r="AP43" s="506" t="str">
        <f>IF(T43="","",T43)</f>
        <v>Наименование тарифа</v>
      </c>
      <c r="AQ43" s="506"/>
      <c r="AR43" s="506"/>
    </row>
    <row customHeight="1" ht="21">
      <c r="A44" s="1393" t="s">
        <v>173</v>
      </c>
      <c r="B44" s="1393" t="s">
        <v>174</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390</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391</v>
      </c>
      <c r="AO44" s="506"/>
      <c r="AP44" s="506" t="str">
        <f>IF(T44="","",T44)</f>
        <v>Территория действия тарифа</v>
      </c>
      <c r="AQ44" s="506"/>
      <c r="AR44" s="506"/>
    </row>
    <row customHeight="1" ht="23.25">
      <c r="A45" s="1393" t="s">
        <v>173</v>
      </c>
      <c r="B45" s="1393" t="s">
        <v>174</v>
      </c>
      <c r="C45" s="1393" t="s">
        <v>175</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392</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393</v>
      </c>
      <c r="AO45" s="506"/>
      <c r="AP45" s="506" t="str">
        <f>IF(T45="","",T45)</f>
        <v>Наименование системы теплоснабжения </v>
      </c>
      <c r="AQ45" s="506"/>
      <c r="AR45" s="506"/>
    </row>
    <row customHeight="1" ht="21">
      <c r="A46" s="1393" t="s">
        <v>173</v>
      </c>
      <c r="B46" s="1393" t="s">
        <v>174</v>
      </c>
      <c r="C46" s="1393" t="s">
        <v>175</v>
      </c>
      <c r="D46" s="1393" t="s">
        <v>176</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394</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395</v>
      </c>
      <c r="AO46" s="506"/>
      <c r="AP46" s="506" t="str">
        <f>IF(T46="","",T46)</f>
        <v>Источник тепловой энергии  </v>
      </c>
      <c r="AQ46" s="506"/>
      <c r="AR46" s="506"/>
    </row>
    <row s="2612" customFormat="1" customHeight="1" ht="0">
      <c r="A47" s="1373" t="s">
        <v>173</v>
      </c>
      <c r="B47" s="1373" t="s">
        <v>174</v>
      </c>
      <c r="C47" s="1373" t="s">
        <v>175</v>
      </c>
      <c r="D47" s="1373" t="s">
        <v>176</v>
      </c>
      <c r="E47" s="2108"/>
      <c r="F47" s="2108"/>
      <c r="G47" s="2108"/>
      <c r="H47" s="2108"/>
      <c r="I47" s="2109" t="str">
        <f>S46&amp;".1"</f>
        <v>....1</v>
      </c>
      <c r="J47" s="1373"/>
      <c r="K47" s="1373"/>
      <c r="L47" s="1376" t="s">
        <v>396</v>
      </c>
      <c r="M47" s="516"/>
      <c r="N47" s="516"/>
      <c r="O47" s="516"/>
      <c r="P47" s="2111">
        <v>1</v>
      </c>
      <c r="Q47" s="1361"/>
      <c r="R47" s="352"/>
      <c r="S47" s="1049"/>
      <c r="T47" s="1413"/>
      <c r="U47" s="1414"/>
      <c r="V47" s="2147"/>
      <c r="W47" s="2148"/>
      <c r="X47" s="2148"/>
      <c r="Y47" s="2148"/>
      <c r="Z47" s="2148"/>
      <c r="AA47" s="2148"/>
      <c r="AB47" s="2148"/>
      <c r="AC47" s="2149"/>
      <c r="AD47" s="2147"/>
      <c r="AE47" s="2148"/>
      <c r="AF47" s="2148"/>
      <c r="AG47" s="2148"/>
      <c r="AH47" s="2148"/>
      <c r="AI47" s="2148"/>
      <c r="AJ47" s="2148"/>
      <c r="AK47" s="2148"/>
      <c r="AL47" s="2149"/>
      <c r="AM47" s="1415"/>
      <c r="AO47" s="506"/>
      <c r="AP47" s="506" t="str">
        <f>IF(T47="","",T47)</f>
        <v/>
      </c>
      <c r="AQ47" s="506"/>
      <c r="AR47" s="506"/>
    </row>
    <row customHeight="1" ht="21">
      <c r="A48" s="1393" t="s">
        <v>173</v>
      </c>
      <c r="B48" s="1393" t="s">
        <v>174</v>
      </c>
      <c r="C48" s="1393" t="s">
        <v>175</v>
      </c>
      <c r="D48" s="1393" t="s">
        <v>176</v>
      </c>
      <c r="E48" s="2108"/>
      <c r="F48" s="2108"/>
      <c r="G48" s="2108"/>
      <c r="H48" s="2108"/>
      <c r="I48" s="2110"/>
      <c r="J48" s="2109" t="str">
        <f>S46&amp;".1"</f>
        <v>....1</v>
      </c>
      <c r="K48" s="1393"/>
      <c r="L48" s="1394" t="s">
        <v>399</v>
      </c>
      <c r="P48" s="2111"/>
      <c r="Q48" s="2111">
        <v>1</v>
      </c>
      <c r="R48" s="353"/>
      <c r="S48" s="1366" t="str">
        <f>$J48</f>
        <v>....1</v>
      </c>
      <c r="T48" s="274" t="s">
        <v>400</v>
      </c>
      <c r="U48" s="288"/>
      <c r="V48" s="2095"/>
      <c r="W48" s="2096"/>
      <c r="X48" s="2096"/>
      <c r="Y48" s="2096"/>
      <c r="Z48" s="2096"/>
      <c r="AA48" s="2096"/>
      <c r="AB48" s="2096"/>
      <c r="AC48" s="2097"/>
      <c r="AD48" s="2095"/>
      <c r="AE48" s="2096"/>
      <c r="AF48" s="2096"/>
      <c r="AG48" s="2096"/>
      <c r="AH48" s="2096"/>
      <c r="AI48" s="2096"/>
      <c r="AJ48" s="2096"/>
      <c r="AK48" s="2096"/>
      <c r="AL48" s="2097"/>
      <c r="AM48" s="1286" t="s">
        <v>401</v>
      </c>
      <c r="AO48" s="506"/>
      <c r="AP48" s="506" t="str">
        <f>IF(T48="","",T48)</f>
        <v>Группа потребителей</v>
      </c>
      <c r="AQ48" s="506"/>
      <c r="AR48" s="506"/>
    </row>
    <row customHeight="1" ht="21">
      <c r="A49" s="1393" t="s">
        <v>173</v>
      </c>
      <c r="B49" s="1393" t="s">
        <v>174</v>
      </c>
      <c r="C49" s="1393" t="s">
        <v>175</v>
      </c>
      <c r="D49" s="1393" t="s">
        <v>176</v>
      </c>
      <c r="E49" s="2108"/>
      <c r="F49" s="2108"/>
      <c r="G49" s="2108"/>
      <c r="H49" s="2108"/>
      <c r="I49" s="2110"/>
      <c r="J49" s="2110"/>
      <c r="K49" s="2109" t="str">
        <f>J48&amp;".1"</f>
        <v>....1.1</v>
      </c>
      <c r="L49" s="1394" t="s">
        <v>402</v>
      </c>
      <c r="P49" s="2111"/>
      <c r="Q49" s="2111"/>
      <c r="R49" s="353">
        <v>1</v>
      </c>
      <c r="S49" s="1366" t="str">
        <f>$K49</f>
        <v>....1.1</v>
      </c>
      <c r="T49" s="1377"/>
      <c r="U49" s="288"/>
      <c r="V49" s="757"/>
      <c r="W49" s="320"/>
      <c r="X49" s="757"/>
      <c r="Y49" s="1285"/>
      <c r="Z49" s="2112"/>
      <c r="AA49" s="1981" t="s">
        <v>61</v>
      </c>
      <c r="AB49" s="2112"/>
      <c r="AC49" s="1981" t="s">
        <v>61</v>
      </c>
      <c r="AD49" s="757"/>
      <c r="AE49" s="320"/>
      <c r="AF49" s="757"/>
      <c r="AG49" s="1285"/>
      <c r="AH49" s="2112"/>
      <c r="AI49" s="1981" t="s">
        <v>61</v>
      </c>
      <c r="AJ49" s="2114"/>
      <c r="AK49" s="1981" t="s">
        <v>61</v>
      </c>
      <c r="AL49" s="1378"/>
      <c r="AM49" s="2137" t="s">
        <v>445</v>
      </c>
      <c r="AN49" s="517">
        <f>STRCHECKDATE(V50:AL50)</f>
      </c>
      <c r="AO49" s="506"/>
      <c r="AP49" s="506" t="str">
        <f>IF(T49="","",T49)</f>
        <v/>
      </c>
      <c r="AQ49" s="506"/>
      <c r="AR49" s="506"/>
    </row>
    <row customHeight="1" ht="0.75">
      <c r="A50" s="1393" t="s">
        <v>173</v>
      </c>
      <c r="B50" s="1393" t="s">
        <v>174</v>
      </c>
      <c r="C50" s="1393" t="s">
        <v>175</v>
      </c>
      <c r="D50" s="1393" t="s">
        <v>176</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173</v>
      </c>
      <c r="B51" s="1393" t="s">
        <v>174</v>
      </c>
      <c r="C51" s="1393" t="s">
        <v>175</v>
      </c>
      <c r="D51" s="1393" t="s">
        <v>176</v>
      </c>
      <c r="E51" s="2108"/>
      <c r="F51" s="2108"/>
      <c r="G51" s="2108"/>
      <c r="H51" s="2108"/>
      <c r="I51" s="2110"/>
      <c r="J51" s="2109"/>
      <c r="K51" s="1393"/>
      <c r="L51" s="1394"/>
      <c r="P51" s="2111"/>
      <c r="Q51" s="2111"/>
      <c r="R51" s="352"/>
      <c r="S51" s="1308"/>
      <c r="T51" s="275" t="s">
        <v>404</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173</v>
      </c>
      <c r="B52" s="1393" t="s">
        <v>174</v>
      </c>
      <c r="C52" s="1393" t="s">
        <v>175</v>
      </c>
      <c r="D52" s="1393" t="s">
        <v>176</v>
      </c>
      <c r="E52" s="2108"/>
      <c r="F52" s="2108"/>
      <c r="G52" s="2108"/>
      <c r="H52" s="2108"/>
      <c r="I52" s="2109"/>
      <c r="J52" s="1393"/>
      <c r="K52" s="1393"/>
      <c r="L52" s="1394"/>
      <c r="P52" s="2111"/>
      <c r="Q52" s="1361"/>
      <c r="R52" s="352"/>
      <c r="S52" s="1308"/>
      <c r="T52" s="364" t="s">
        <v>405</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0">
      <c r="A53" s="1393" t="s">
        <v>173</v>
      </c>
      <c r="B53" s="1393" t="s">
        <v>174</v>
      </c>
      <c r="C53" s="1393" t="s">
        <v>175</v>
      </c>
      <c r="D53" s="1393" t="s">
        <v>176</v>
      </c>
      <c r="E53" s="2108"/>
      <c r="F53" s="2108"/>
      <c r="G53" s="2108"/>
      <c r="H53" s="2107"/>
      <c r="I53" s="1393"/>
      <c r="J53" s="1393"/>
      <c r="K53" s="1393"/>
      <c r="L53" s="1394"/>
      <c r="M53" s="1395"/>
      <c r="N53" s="1395"/>
      <c r="O53" s="543"/>
      <c r="P53" s="356"/>
      <c r="Q53" s="376"/>
      <c r="R53" s="351"/>
      <c r="S53" s="1416"/>
      <c r="T53" s="1417"/>
      <c r="U53" s="1418"/>
      <c r="V53" s="1418"/>
      <c r="W53" s="1418"/>
      <c r="X53" s="1418"/>
      <c r="Y53" s="1418"/>
      <c r="Z53" s="1418"/>
      <c r="AA53" s="1418"/>
      <c r="AB53" s="1418"/>
      <c r="AC53" s="1418"/>
      <c r="AD53" s="1418"/>
      <c r="AE53" s="1418"/>
      <c r="AF53" s="1418"/>
      <c r="AG53" s="1418"/>
      <c r="AH53" s="1418"/>
      <c r="AI53" s="1418"/>
      <c r="AJ53" s="1418"/>
      <c r="AK53" s="1418"/>
      <c r="AL53" s="1418"/>
      <c r="AM53" s="1419"/>
      <c r="AO53" s="506"/>
      <c r="AP53" s="506" t="str">
        <f>IF(T53="","",T53)</f>
        <v/>
      </c>
      <c r="AQ53" s="506"/>
      <c r="AR53" s="506"/>
    </row>
    <row s="3274" customFormat="1" customHeight="1" ht="0.75">
      <c r="A54" s="1373" t="s">
        <v>173</v>
      </c>
      <c r="B54" s="1373" t="s">
        <v>174</v>
      </c>
      <c r="C54" s="1373" t="s">
        <v>175</v>
      </c>
      <c r="D54" s="1344"/>
      <c r="E54" s="2108"/>
      <c r="F54" s="2108"/>
      <c r="G54" s="2107"/>
      <c r="H54" s="1344"/>
      <c r="I54" s="1344"/>
      <c r="J54" s="1344"/>
      <c r="K54" s="1344"/>
      <c r="L54" s="1369"/>
      <c r="M54" s="1345"/>
      <c r="N54" s="1345"/>
      <c r="P54" s="1346"/>
      <c r="Q54" s="1347"/>
      <c r="R54" s="1346"/>
      <c r="S54" s="1352"/>
      <c r="T54" s="1355" t="s">
        <v>167</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274" customFormat="1" customHeight="1" ht="0.75">
      <c r="A55" s="1373" t="s">
        <v>173</v>
      </c>
      <c r="B55" s="1373" t="s">
        <v>174</v>
      </c>
      <c r="C55" s="1344"/>
      <c r="D55" s="1344"/>
      <c r="E55" s="2108"/>
      <c r="F55" s="2107"/>
      <c r="G55" s="1344"/>
      <c r="H55" s="1344"/>
      <c r="I55" s="1344"/>
      <c r="J55" s="1344"/>
      <c r="K55" s="1344"/>
      <c r="L55" s="1369"/>
      <c r="M55" s="1351"/>
      <c r="N55" s="1351"/>
      <c r="P55" s="1346"/>
      <c r="Q55" s="1347"/>
      <c r="R55" s="1346"/>
      <c r="S55" s="1352"/>
      <c r="T55" s="1355" t="s">
        <v>168</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2" customFormat="1" customHeight="1" ht="0.75">
      <c r="A56" s="1373" t="s">
        <v>173</v>
      </c>
      <c r="B56" s="1373"/>
      <c r="C56" s="1373"/>
      <c r="D56" s="1373"/>
      <c r="E56" s="2107"/>
      <c r="F56" s="1373"/>
      <c r="G56" s="1373"/>
      <c r="H56" s="1373"/>
      <c r="I56" s="1373"/>
      <c r="J56" s="1373"/>
      <c r="K56" s="1373"/>
      <c r="L56" s="1376"/>
      <c r="M56" s="1351"/>
      <c r="N56" s="1351"/>
      <c r="O56" s="524"/>
      <c r="P56" s="385"/>
      <c r="Q56" s="1374"/>
      <c r="R56" s="385"/>
      <c r="S56" s="1352"/>
      <c r="T56" s="1355" t="s">
        <v>169</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274"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170</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18.75">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27.7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39.75">
      <c r="O61" s="543"/>
      <c r="T61" s="2106"/>
      <c r="U61" s="2106"/>
      <c r="V61" s="2106"/>
      <c r="W61" s="2106"/>
      <c r="X61" s="2106"/>
      <c r="Y61" s="2106"/>
      <c r="Z61" s="2106"/>
      <c r="AA61" s="2106"/>
      <c r="AB61" s="2106"/>
      <c r="AC61" s="2106"/>
      <c r="AD61" s="2106"/>
      <c r="AE61" s="2106"/>
      <c r="AF61" s="2106"/>
      <c r="AG61" s="2106"/>
      <c r="AH61" s="2106"/>
      <c r="AI61" s="2106"/>
      <c r="AJ61" s="2106"/>
      <c r="AK61" s="2106"/>
      <c r="AL61" s="2106"/>
      <c r="AM61" s="2106"/>
    </row>
    <row customHeight="1" ht="14.25">
      <c r="O62" s="543"/>
    </row>
    <row customHeight="1" ht="19.5">
      <c r="O63" s="543"/>
      <c r="S63" s="1273"/>
      <c r="T63" s="2150"/>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27.75">
      <c r="O64" s="543"/>
      <c r="T64" s="2106"/>
      <c r="U64" s="2106"/>
      <c r="V64" s="2106"/>
      <c r="W64" s="2106"/>
      <c r="X64" s="2106"/>
      <c r="Y64" s="2106"/>
      <c r="Z64" s="2106"/>
      <c r="AA64" s="2106"/>
      <c r="AB64" s="2106"/>
      <c r="AC64" s="2106"/>
      <c r="AD64" s="2106"/>
      <c r="AE64" s="2106"/>
      <c r="AF64" s="2106"/>
      <c r="AG64" s="2106"/>
      <c r="AH64" s="2106"/>
      <c r="AI64" s="2106"/>
      <c r="AJ64" s="2106"/>
      <c r="AK64" s="2106"/>
      <c r="AL64" s="2106"/>
      <c r="AM64" s="2106"/>
    </row>
    <row customHeight="1" ht="33.75">
      <c r="T65" s="2106"/>
      <c r="U65" s="2106"/>
      <c r="V65" s="2106"/>
      <c r="W65" s="2106"/>
      <c r="X65" s="2106"/>
      <c r="Y65" s="2106"/>
      <c r="Z65" s="2106"/>
      <c r="AA65" s="2106"/>
      <c r="AB65" s="2106"/>
      <c r="AC65" s="2106"/>
      <c r="AD65" s="2106"/>
      <c r="AE65" s="2106"/>
      <c r="AF65" s="2106"/>
      <c r="AG65" s="2106"/>
      <c r="AH65" s="2106"/>
      <c r="AI65" s="2106"/>
      <c r="AJ65" s="2106"/>
      <c r="AK65" s="2106"/>
      <c r="AL65" s="2106"/>
      <c r="AM65" s="2106"/>
    </row>
  </sheetData>
  <sheetProtection formatColumns="0" formatRows="0" autoFilter="0" sort="0" insertRows="0" insertColumns="1" deleteRows="0" deleteColumns="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209CC6-CDB8-6DC6-85E8-CC8EA9719338}"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3293" width="10.57421875" hidden="1"/>
    <col min="2" max="2" style="3293" width="11.00390625" hidden="1" customWidth="1"/>
    <col min="3" max="3" style="3293" width="10.57421875" hidden="1"/>
    <col min="4" max="4" style="3293" width="11.8515625" hidden="1" customWidth="1"/>
    <col min="5" max="5" style="3293" width="10.00390625" hidden="1" customWidth="1"/>
    <col min="6" max="6" style="3293" width="8.7109375" hidden="1" customWidth="1"/>
    <col min="7" max="7" style="3293" width="7.57421875" hidden="1" customWidth="1"/>
    <col min="8" max="8" style="3293" width="11.421875" hidden="1" customWidth="1"/>
    <col min="9" max="9" style="3293" width="12.00390625" hidden="1" customWidth="1"/>
    <col min="10" max="10" style="3293" width="9.8515625" hidden="1" customWidth="1"/>
    <col min="11" max="11" style="3293" width="11.421875" hidden="1" customWidth="1"/>
    <col min="12" max="12" style="3294" width="19.140625" hidden="1" customWidth="1"/>
    <col min="13" max="14" style="3295" width="12.28125" hidden="1" customWidth="1"/>
    <col min="15" max="15" style="3295" width="23.421875" hidden="1" customWidth="1"/>
    <col min="16" max="16" style="3316" width="3.7109375" hidden="1" customWidth="1"/>
    <col min="17" max="18" style="3372" width="3.7109375" customWidth="1"/>
    <col min="19" max="19" style="3373" width="12.7109375" customWidth="1"/>
    <col min="20" max="20" style="2941" width="32.00390625" customWidth="1"/>
    <col min="21" max="21" style="2941" width="0.140625" customWidth="1"/>
    <col min="22" max="22" style="2941" width="24.7109375" hidden="1" customWidth="1"/>
    <col min="23" max="23" style="2941" width="0.140625" hidden="1" customWidth="1"/>
    <col min="24" max="25" style="2941" width="24.7109375" hidden="1" customWidth="1"/>
    <col min="26" max="26" style="2941" width="11.7109375" hidden="1" customWidth="1"/>
    <col min="27" max="27" style="2941" width="3.7109375" hidden="1" customWidth="1"/>
    <col min="28" max="28" style="2941" width="11.7109375" hidden="1" customWidth="1"/>
    <col min="29" max="29" style="2941" width="8.57421875" hidden="1" customWidth="1"/>
    <col min="30" max="30" style="2941" width="24.7109375" customWidth="1"/>
    <col min="31" max="31" style="2941" width="0.140625" customWidth="1"/>
    <col min="32" max="33" style="2941" width="24.7109375" customWidth="1"/>
    <col min="34" max="34" style="2941" width="11.7109375" customWidth="1"/>
    <col min="35" max="35" style="2941" width="3.7109375" customWidth="1"/>
    <col min="36" max="36" style="2941" width="11.7109375" customWidth="1"/>
    <col min="37" max="37" style="2941" width="8.57421875" hidden="1" customWidth="1"/>
    <col min="38" max="38" style="2941" width="4.7109375" customWidth="1"/>
    <col min="39" max="39" style="2941" width="115.7109375" customWidth="1"/>
    <col min="40" max="41" style="2612" width="10.57421875"/>
    <col min="42" max="42" style="2612" width="11.140625" customWidth="1"/>
    <col min="43" max="44" style="2612" width="10.57421875"/>
  </cols>
  <sheetData>
    <row customHeight="1" ht="14.25" hidden="1">
      <c r="A1" s="1914"/>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122</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389</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390</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391</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392</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393</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394</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395</v>
      </c>
      <c r="AO5" s="506"/>
      <c r="AP5" s="506" t="str">
        <f>IF(T5="","",T5)</f>
        <v>Источник тепловой энергии  </v>
      </c>
      <c r="AQ5" s="506"/>
      <c r="AR5" s="506"/>
    </row>
    <row customHeight="1" ht="14.25" hidden="1">
      <c r="A6" s="1393"/>
      <c r="B6" s="1393"/>
      <c r="C6" s="1393"/>
      <c r="D6" s="1393"/>
      <c r="E6" s="2108"/>
      <c r="F6" s="2108"/>
      <c r="G6" s="2108"/>
      <c r="H6" s="2108"/>
      <c r="I6" s="2109">
        <f>S5&amp;".1"</f>
      </c>
      <c r="J6" s="1393"/>
      <c r="K6" s="1393"/>
      <c r="L6" s="1394" t="s">
        <v>396</v>
      </c>
      <c r="M6" s="543"/>
      <c r="P6" s="2111">
        <v>1</v>
      </c>
      <c r="Q6" s="1361"/>
      <c r="R6" s="352"/>
      <c r="S6" s="1049"/>
      <c r="T6" s="1413"/>
      <c r="U6" s="1414"/>
      <c r="V6" s="2147"/>
      <c r="W6" s="2148"/>
      <c r="X6" s="2148"/>
      <c r="Y6" s="2148"/>
      <c r="Z6" s="2148"/>
      <c r="AA6" s="2148"/>
      <c r="AB6" s="2148"/>
      <c r="AC6" s="2149"/>
      <c r="AD6" s="2147"/>
      <c r="AE6" s="2148"/>
      <c r="AF6" s="2148"/>
      <c r="AG6" s="2148"/>
      <c r="AH6" s="2148"/>
      <c r="AI6" s="2148"/>
      <c r="AJ6" s="2148"/>
      <c r="AK6" s="2148"/>
      <c r="AL6" s="2149"/>
      <c r="AM6" s="1415"/>
      <c r="AO6" s="506"/>
      <c r="AP6" s="506" t="str">
        <f>IF(T6="","",T6)</f>
        <v/>
      </c>
      <c r="AQ6" s="506"/>
      <c r="AR6" s="506"/>
    </row>
    <row customHeight="1" ht="21" hidden="1">
      <c r="A7" s="1393"/>
      <c r="B7" s="1393"/>
      <c r="C7" s="1393"/>
      <c r="D7" s="1393"/>
      <c r="E7" s="2108"/>
      <c r="F7" s="2108"/>
      <c r="G7" s="2108"/>
      <c r="H7" s="2108"/>
      <c r="I7" s="2110"/>
      <c r="J7" s="2109">
        <f>I6&amp;".1"</f>
      </c>
      <c r="K7" s="1393"/>
      <c r="L7" s="1394" t="s">
        <v>399</v>
      </c>
      <c r="M7" s="543"/>
      <c r="N7" s="1396"/>
      <c r="P7" s="2111"/>
      <c r="Q7" s="2111">
        <v>1</v>
      </c>
      <c r="R7" s="353"/>
      <c r="S7" s="1366">
        <f>$J7</f>
      </c>
      <c r="T7" s="274" t="s">
        <v>400</v>
      </c>
      <c r="U7" s="288"/>
      <c r="V7" s="2095"/>
      <c r="W7" s="2096"/>
      <c r="X7" s="2096"/>
      <c r="Y7" s="2096"/>
      <c r="Z7" s="2096"/>
      <c r="AA7" s="2096"/>
      <c r="AB7" s="2096"/>
      <c r="AC7" s="2097"/>
      <c r="AD7" s="2095"/>
      <c r="AE7" s="2096"/>
      <c r="AF7" s="2096"/>
      <c r="AG7" s="2096"/>
      <c r="AH7" s="2096"/>
      <c r="AI7" s="2096"/>
      <c r="AJ7" s="2096"/>
      <c r="AK7" s="2096"/>
      <c r="AL7" s="2097"/>
      <c r="AM7" s="1286" t="s">
        <v>401</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402</v>
      </c>
      <c r="M8" s="543"/>
      <c r="N8" s="1396"/>
      <c r="O8" s="1396"/>
      <c r="P8" s="2111"/>
      <c r="Q8" s="2111"/>
      <c r="R8" s="353">
        <v>1</v>
      </c>
      <c r="S8" s="1366">
        <f>$K8</f>
      </c>
      <c r="T8" s="1377"/>
      <c r="U8" s="288"/>
      <c r="V8" s="757"/>
      <c r="W8" s="320"/>
      <c r="X8" s="757"/>
      <c r="Y8" s="1285"/>
      <c r="Z8" s="2112"/>
      <c r="AA8" s="1981" t="s">
        <v>61</v>
      </c>
      <c r="AB8" s="2112"/>
      <c r="AC8" s="1981" t="s">
        <v>61</v>
      </c>
      <c r="AD8" s="757"/>
      <c r="AE8" s="320"/>
      <c r="AF8" s="757"/>
      <c r="AG8" s="1285"/>
      <c r="AH8" s="2112"/>
      <c r="AI8" s="1981" t="s">
        <v>61</v>
      </c>
      <c r="AJ8" s="2112"/>
      <c r="AK8" s="1981" t="s">
        <v>61</v>
      </c>
      <c r="AL8" s="320"/>
      <c r="AM8" s="2137" t="s">
        <v>403</v>
      </c>
      <c r="AN8" s="517">
        <f>STRCHECKDATE(V9:AL9)</f>
      </c>
      <c r="AO8" s="506"/>
      <c r="AP8" s="506" t="str">
        <f>IF(T8="","",T8)</f>
        <v/>
      </c>
      <c r="AQ8" s="506"/>
      <c r="AR8" s="506"/>
    </row>
    <row customHeight="1" ht="14.2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5" t="s">
        <v>404</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1.25" hidden="1">
      <c r="A11" s="1393"/>
      <c r="B11" s="1393"/>
      <c r="C11" s="1393"/>
      <c r="D11" s="1393"/>
      <c r="E11" s="2108"/>
      <c r="F11" s="2108"/>
      <c r="G11" s="2108"/>
      <c r="H11" s="2108"/>
      <c r="I11" s="2109"/>
      <c r="J11" s="1393"/>
      <c r="K11" s="1393"/>
      <c r="L11" s="1394"/>
      <c r="M11" s="543"/>
      <c r="P11" s="2111"/>
      <c r="Q11" s="1361"/>
      <c r="R11" s="352"/>
      <c r="S11" s="1308"/>
      <c r="T11" s="364" t="s">
        <v>405</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416"/>
      <c r="T12" s="1417"/>
      <c r="U12" s="1418"/>
      <c r="V12" s="1418"/>
      <c r="W12" s="1418"/>
      <c r="X12" s="1418"/>
      <c r="Y12" s="1418"/>
      <c r="Z12" s="1418"/>
      <c r="AA12" s="1418"/>
      <c r="AB12" s="1418"/>
      <c r="AC12" s="1418"/>
      <c r="AD12" s="1418"/>
      <c r="AE12" s="1418"/>
      <c r="AF12" s="1418"/>
      <c r="AG12" s="1418"/>
      <c r="AH12" s="1418"/>
      <c r="AI12" s="1418"/>
      <c r="AJ12" s="1418"/>
      <c r="AK12" s="1418"/>
      <c r="AL12" s="1418"/>
      <c r="AM12" s="1419"/>
      <c r="AO12" s="506"/>
      <c r="AP12" s="506" t="str">
        <f>IF(T12="","",T12)</f>
        <v/>
      </c>
      <c r="AQ12" s="506"/>
      <c r="AR12" s="506"/>
    </row>
    <row s="3274" customFormat="1" customHeight="1" ht="14.25" hidden="1">
      <c r="A13" s="1344"/>
      <c r="B13" s="1344"/>
      <c r="C13" s="1344"/>
      <c r="D13" s="1344"/>
      <c r="E13" s="2108"/>
      <c r="F13" s="2108"/>
      <c r="G13" s="2107"/>
      <c r="H13" s="1344"/>
      <c r="I13" s="1344"/>
      <c r="J13" s="1344"/>
      <c r="K13" s="1344"/>
      <c r="L13" s="1369"/>
      <c r="M13" s="1345"/>
      <c r="N13" s="1345"/>
      <c r="P13" s="1346"/>
      <c r="Q13" s="1347"/>
      <c r="R13" s="1346"/>
      <c r="S13" s="1348"/>
      <c r="T13" s="1349" t="s">
        <v>167</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274" customFormat="1" customHeight="1" ht="14.25" hidden="1">
      <c r="A14" s="1344"/>
      <c r="B14" s="1344"/>
      <c r="C14" s="1344"/>
      <c r="D14" s="1344"/>
      <c r="E14" s="2108"/>
      <c r="F14" s="2107"/>
      <c r="G14" s="1344"/>
      <c r="H14" s="1344"/>
      <c r="I14" s="1344"/>
      <c r="J14" s="1344"/>
      <c r="K14" s="1344"/>
      <c r="L14" s="1369"/>
      <c r="M14" s="1351"/>
      <c r="N14" s="1351"/>
      <c r="P14" s="1346"/>
      <c r="Q14" s="1347"/>
      <c r="R14" s="1346"/>
      <c r="S14" s="1352"/>
      <c r="T14" s="1353" t="s">
        <v>168</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274" customFormat="1" customHeight="1" ht="14.25" hidden="1">
      <c r="A15" s="1344"/>
      <c r="B15" s="1344"/>
      <c r="C15" s="1344"/>
      <c r="D15" s="1344"/>
      <c r="E15" s="2107"/>
      <c r="F15" s="1344"/>
      <c r="G15" s="1344"/>
      <c r="H15" s="1344"/>
      <c r="I15" s="1344"/>
      <c r="J15" s="1344"/>
      <c r="K15" s="1344"/>
      <c r="L15" s="1369"/>
      <c r="M15" s="1351"/>
      <c r="N15" s="1351"/>
      <c r="P15" s="1346"/>
      <c r="Q15" s="1347"/>
      <c r="R15" s="1346"/>
      <c r="S15" s="1352"/>
      <c r="T15" s="1355" t="s">
        <v>169</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61</v>
      </c>
      <c r="AJ17" s="2105"/>
      <c r="AK17" s="2104" t="s">
        <v>61</v>
      </c>
    </row>
    <row customHeight="1" ht="14.25" hidden="1">
      <c r="AD18" s="1390"/>
      <c r="AE18" s="1390"/>
      <c r="AF18" s="1390"/>
      <c r="AG18" s="324" t="str">
        <f>AH17&amp;"-"&amp;AJ17</f>
        <v>-</v>
      </c>
      <c r="AH18" s="2104"/>
      <c r="AI18" s="2104"/>
      <c r="AJ18" s="2104"/>
      <c r="AK18" s="2104"/>
    </row>
    <row customHeight="1" ht="14.25" hidden="1">
      <c r="AK19" s="323"/>
    </row>
    <row s="3293" customFormat="1" customHeight="1" ht="22.5" hidden="1">
      <c r="L20" s="1359"/>
      <c r="M20" s="1392"/>
      <c r="N20" s="1392"/>
      <c r="O20" s="1397" t="s">
        <v>407</v>
      </c>
      <c r="P20" s="1392"/>
      <c r="Q20" s="1401"/>
      <c r="R20" s="1401"/>
      <c r="S20" s="735"/>
      <c r="Z20" s="1397"/>
      <c r="AB20" s="1397"/>
      <c r="AC20" s="1396"/>
      <c r="AH20" s="1397"/>
      <c r="AJ20" s="1397"/>
      <c r="AK20" s="1396"/>
      <c r="AN20" s="517"/>
      <c r="AO20" s="517"/>
      <c r="AP20" s="517"/>
      <c r="AQ20" s="517"/>
      <c r="AR20" s="517"/>
    </row>
    <row s="3293" customFormat="1" customHeight="1" ht="14.25" hidden="1">
      <c r="L21" s="1359"/>
      <c r="M21" s="1392"/>
      <c r="N21" s="1392"/>
      <c r="O21" s="1392"/>
      <c r="P21" s="1392"/>
      <c r="Q21" s="1401"/>
      <c r="R21" s="1401"/>
      <c r="S21" s="735"/>
      <c r="AC21" s="1396"/>
      <c r="AK21" s="1396"/>
      <c r="AN21" s="517"/>
      <c r="AO21" s="517"/>
      <c r="AP21" s="517"/>
      <c r="AQ21" s="517"/>
      <c r="AR21" s="517"/>
    </row>
    <row s="3293" customFormat="1" customHeight="1" ht="14.25" hidden="1">
      <c r="L22" s="1359"/>
      <c r="M22" s="1392"/>
      <c r="N22" s="1392"/>
      <c r="O22" s="1394" t="s">
        <v>408</v>
      </c>
      <c r="P22" s="1392"/>
      <c r="Q22" s="1401"/>
      <c r="R22" s="1401"/>
      <c r="S22" s="735"/>
      <c r="T22" s="1168" t="s">
        <v>409</v>
      </c>
      <c r="AA22" s="172" t="s">
        <v>410</v>
      </c>
      <c r="AC22" s="172" t="s">
        <v>411</v>
      </c>
      <c r="AD22" s="1168" t="s">
        <v>409</v>
      </c>
      <c r="AI22" s="172" t="s">
        <v>412</v>
      </c>
      <c r="AK22" s="172" t="s">
        <v>411</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51.75">
      <c r="Q26" s="377"/>
      <c r="R26" s="377"/>
      <c r="S26" s="2151"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51"/>
      <c r="U26" s="2151"/>
      <c r="V26" s="2151"/>
      <c r="W26" s="2151"/>
      <c r="X26" s="2151"/>
      <c r="Y26" s="2151"/>
      <c r="Z26" s="2151"/>
      <c r="AA26" s="2151"/>
      <c r="AB26" s="2151"/>
      <c r="AC26" s="2151"/>
      <c r="AD26" s="2151"/>
      <c r="AE26" s="2151"/>
      <c r="AF26" s="2151"/>
      <c r="AG26" s="2151"/>
      <c r="AH26" s="2151"/>
      <c r="AI26" s="2151"/>
      <c r="AJ26" s="2151"/>
      <c r="AK26" s="1261"/>
    </row>
    <row customHeight="1" ht="14.25">
      <c r="Q27" s="377"/>
      <c r="R27" s="377"/>
      <c r="S27" s="2141" t="str">
        <f>IF(org=0,"Не определено",org)</f>
        <v>МУП г. Азова "Теплоэнерго"</v>
      </c>
      <c r="T27" s="2141"/>
      <c r="U27" s="2141"/>
      <c r="V27" s="2141"/>
      <c r="W27" s="2141"/>
      <c r="X27" s="2141"/>
      <c r="Y27" s="2141"/>
      <c r="Z27" s="2141"/>
      <c r="AA27" s="2141"/>
      <c r="AB27" s="2141"/>
      <c r="AC27" s="2141"/>
      <c r="AD27" s="2141"/>
      <c r="AE27" s="2141"/>
      <c r="AF27" s="2141"/>
      <c r="AG27" s="2141"/>
      <c r="AH27" s="2141"/>
      <c r="AI27" s="2141"/>
      <c r="AJ27" s="2141"/>
      <c r="AK27" s="126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06"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Региональная служба по тарифам Ростовской области</v>
      </c>
      <c r="W29" s="2100"/>
      <c r="X29" s="2100"/>
      <c r="Y29" s="2100"/>
      <c r="Z29" s="2100"/>
      <c r="AA29" s="2100"/>
      <c r="AB29" s="2100"/>
      <c r="AC29" s="322"/>
      <c r="AD29" s="2100" t="str">
        <f>IF(TITLE_NAME_OR_PR_CHANGE="",IF(TITLE_NAME_OR_PR="","",TITLE_NAME_OR_PR),TITLE_NAME_OR_PR_CHANGE)</f>
        <v>Региональная служба по тарифам Ростовской области</v>
      </c>
      <c r="AE29" s="2100"/>
      <c r="AF29" s="2100"/>
      <c r="AG29" s="2100"/>
      <c r="AH29" s="2100"/>
      <c r="AI29" s="2100"/>
      <c r="AJ29" s="2100"/>
      <c r="AK29" s="322"/>
      <c r="AL29" s="322"/>
      <c r="AM29" s="268"/>
      <c r="AN29" s="368"/>
      <c r="AO29" s="368"/>
      <c r="AP29" s="368"/>
      <c r="AQ29" s="368"/>
      <c r="AR29" s="368"/>
    </row>
    <row s="3306" customFormat="1" customHeight="1" ht="18.75">
      <c r="A30" s="1398"/>
      <c r="B30" s="1398"/>
      <c r="C30" s="1398"/>
      <c r="D30" s="1398"/>
      <c r="E30" s="1398"/>
      <c r="F30" s="1398"/>
      <c r="G30" s="1398"/>
      <c r="H30" s="1398"/>
      <c r="I30" s="1398"/>
      <c r="J30" s="1398"/>
      <c r="K30" s="1398"/>
      <c r="L30" s="1399"/>
      <c r="M30" s="1398"/>
      <c r="N30" s="1398"/>
      <c r="O30" s="1398"/>
      <c r="S30" s="2098" t="s">
        <v>413</v>
      </c>
      <c r="T30" s="2098"/>
      <c r="U30" s="1402"/>
      <c r="V30" s="2099" t="str">
        <f>IF(TITLE_DATE_PR_CHANGE="",IF(TITLE_DATE_PR="","",TITLE_DATE_PR),TITLE_DATE_PR_CHANGE)</f>
        <v>45245.61800925926</v>
      </c>
      <c r="W30" s="2099"/>
      <c r="X30" s="2099"/>
      <c r="Y30" s="2099"/>
      <c r="Z30" s="2099"/>
      <c r="AA30" s="2099"/>
      <c r="AB30" s="2099"/>
      <c r="AC30" s="322"/>
      <c r="AD30" s="2099" t="str">
        <f>IF(TITLE_DATE_PR_CHANGE="",IF(TITLE_DATE_PR="","",TITLE_DATE_PR),TITLE_DATE_PR_CHANGE)</f>
        <v>45245.61800925926</v>
      </c>
      <c r="AE30" s="2099"/>
      <c r="AF30" s="2099"/>
      <c r="AG30" s="2099"/>
      <c r="AH30" s="2099"/>
      <c r="AI30" s="2099"/>
      <c r="AJ30" s="2099"/>
      <c r="AK30" s="322"/>
      <c r="AL30" s="322"/>
      <c r="AM30" s="268"/>
      <c r="AN30" s="368"/>
      <c r="AO30" s="368"/>
      <c r="AP30" s="368"/>
      <c r="AQ30" s="368"/>
      <c r="AR30" s="368"/>
    </row>
    <row s="3306" customFormat="1" customHeight="1" ht="18.75">
      <c r="A31" s="1398"/>
      <c r="B31" s="1398"/>
      <c r="C31" s="1398"/>
      <c r="D31" s="1398"/>
      <c r="E31" s="1398"/>
      <c r="F31" s="1398"/>
      <c r="G31" s="1398"/>
      <c r="H31" s="1398"/>
      <c r="I31" s="1398"/>
      <c r="J31" s="1398"/>
      <c r="K31" s="1398"/>
      <c r="L31" s="1399"/>
      <c r="M31" s="1398"/>
      <c r="N31" s="1398"/>
      <c r="O31" s="1398"/>
      <c r="S31" s="2098" t="s">
        <v>414</v>
      </c>
      <c r="T31" s="2098"/>
      <c r="U31" s="1402"/>
      <c r="V31" s="2100" t="str">
        <f>IF(TITLE_NUMBER_PR_CHANGE="",IF(TITLE_NUMBER_PR="","",TITLE_NUMBER_PR),TITLE_NUMBER_PR_CHANGE)</f>
        <v>550</v>
      </c>
      <c r="W31" s="2100"/>
      <c r="X31" s="2100"/>
      <c r="Y31" s="2100"/>
      <c r="Z31" s="2100"/>
      <c r="AA31" s="2100"/>
      <c r="AB31" s="2100"/>
      <c r="AC31" s="322"/>
      <c r="AD31" s="2100" t="str">
        <f>IF(TITLE_NUMBER_PR_CHANGE="",IF(TITLE_NUMBER_PR="","",TITLE_NUMBER_PR),TITLE_NUMBER_PR_CHANGE)</f>
        <v>550</v>
      </c>
      <c r="AE31" s="2100"/>
      <c r="AF31" s="2100"/>
      <c r="AG31" s="2100"/>
      <c r="AH31" s="2100"/>
      <c r="AI31" s="2100"/>
      <c r="AJ31" s="2100"/>
      <c r="AK31" s="322"/>
      <c r="AL31" s="322"/>
      <c r="AM31" s="268"/>
      <c r="AN31" s="368"/>
      <c r="AO31" s="368"/>
      <c r="AP31" s="368"/>
      <c r="AQ31" s="368"/>
      <c r="AR31" s="368"/>
    </row>
    <row s="3306"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https://rst.donland.ru</v>
      </c>
      <c r="W32" s="2100"/>
      <c r="X32" s="2100"/>
      <c r="Y32" s="2100"/>
      <c r="Z32" s="2100"/>
      <c r="AA32" s="2100"/>
      <c r="AB32" s="2100"/>
      <c r="AC32" s="322"/>
      <c r="AD32" s="2100" t="str">
        <f>IF(TITLE_IST_PUB_CHANGE="",IF(TITLE_IST_PUB="","",TITLE_IST_PUB),TITLE_IST_PUB_CHANGE)</f>
        <v>https://rst.donland.ru</v>
      </c>
      <c r="AE32" s="2100"/>
      <c r="AF32" s="2100"/>
      <c r="AG32" s="2100"/>
      <c r="AH32" s="2100"/>
      <c r="AI32" s="2100"/>
      <c r="AJ32" s="2100"/>
      <c r="AK32" s="322"/>
      <c r="AL32" s="322"/>
      <c r="AM32" s="268"/>
      <c r="AN32" s="368"/>
      <c r="AO32" s="368"/>
      <c r="AP32" s="368"/>
      <c r="AQ32" s="368"/>
      <c r="AR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06" customFormat="1" customHeight="1" ht="18.75" hidden="1">
      <c r="A34" s="1398"/>
      <c r="B34" s="1398"/>
      <c r="C34" s="1398"/>
      <c r="D34" s="1398"/>
      <c r="E34" s="1398"/>
      <c r="F34" s="1398"/>
      <c r="G34" s="1398"/>
      <c r="H34" s="1398"/>
      <c r="I34" s="1398"/>
      <c r="J34" s="1398"/>
      <c r="K34" s="1398"/>
      <c r="L34" s="1399"/>
      <c r="M34" s="1398"/>
      <c r="N34" s="1398"/>
      <c r="O34" s="1398"/>
      <c r="S34" s="2098" t="s">
        <v>415</v>
      </c>
      <c r="T34" s="2098"/>
      <c r="U34" s="1402"/>
      <c r="V34" s="2099" t="str">
        <f>IF(TITLE_DATE_PR_CHANGE="",IF(TITLE_DATE_PR="","",TITLE_DATE_PR),TITLE_DATE_PR_CHANGE)</f>
        <v>45245.61800925926</v>
      </c>
      <c r="W34" s="2099"/>
      <c r="X34" s="2099"/>
      <c r="Y34" s="2099"/>
      <c r="Z34" s="2099"/>
      <c r="AA34" s="2099"/>
      <c r="AB34" s="2099"/>
      <c r="AC34" s="322"/>
      <c r="AD34" s="2099" t="str">
        <f>IF(TITLE_DATE_PR_CHANGE="",IF(TITLE_DATE_PR="","",TITLE_DATE_PR),TITLE_DATE_PR_CHANGE)</f>
        <v>45245.61800925926</v>
      </c>
      <c r="AE34" s="2099"/>
      <c r="AF34" s="2099"/>
      <c r="AG34" s="2099"/>
      <c r="AH34" s="2099"/>
      <c r="AI34" s="2099"/>
      <c r="AJ34" s="2099"/>
      <c r="AK34" s="322"/>
      <c r="AL34" s="322"/>
      <c r="AM34" s="268"/>
      <c r="AN34" s="368"/>
      <c r="AO34" s="368"/>
      <c r="AP34" s="368"/>
      <c r="AQ34" s="368"/>
      <c r="AR34" s="368"/>
    </row>
    <row s="3306" customFormat="1" customHeight="1" ht="18.75" hidden="1">
      <c r="A35" s="1398"/>
      <c r="B35" s="1398"/>
      <c r="C35" s="1398"/>
      <c r="D35" s="1398"/>
      <c r="E35" s="1398"/>
      <c r="F35" s="1398"/>
      <c r="G35" s="1398"/>
      <c r="H35" s="1398"/>
      <c r="I35" s="1398"/>
      <c r="J35" s="1398"/>
      <c r="K35" s="1398"/>
      <c r="L35" s="1399"/>
      <c r="M35" s="1398"/>
      <c r="N35" s="1398"/>
      <c r="O35" s="1398"/>
      <c r="S35" s="2098" t="s">
        <v>416</v>
      </c>
      <c r="T35" s="2098"/>
      <c r="U35" s="1402"/>
      <c r="V35" s="2100" t="str">
        <f>IF(TITLE_NUMBER_PR_CHANGE="",IF(TITLE_NUMBER_PR="","",TITLE_NUMBER_PR),TITLE_NUMBER_PR_CHANGE)</f>
        <v>550</v>
      </c>
      <c r="W35" s="2100"/>
      <c r="X35" s="2100"/>
      <c r="Y35" s="2100"/>
      <c r="Z35" s="2100"/>
      <c r="AA35" s="2100"/>
      <c r="AB35" s="2100"/>
      <c r="AC35" s="322"/>
      <c r="AD35" s="2100" t="str">
        <f>IF(TITLE_NUMBER_PR_CHANGE="",IF(TITLE_NUMBER_PR="","",TITLE_NUMBER_PR),TITLE_NUMBER_PR_CHANGE)</f>
        <v>550</v>
      </c>
      <c r="AE35" s="2100"/>
      <c r="AF35" s="2100"/>
      <c r="AG35" s="2100"/>
      <c r="AH35" s="2100"/>
      <c r="AI35" s="2100"/>
      <c r="AJ35" s="2100"/>
      <c r="AK35" s="322"/>
      <c r="AL35" s="322"/>
      <c r="AM35" s="268"/>
      <c r="AN35" s="368"/>
      <c r="AO35" s="368"/>
      <c r="AP35" s="368"/>
      <c r="AQ35" s="368"/>
      <c r="AR35" s="368"/>
    </row>
    <row s="3306"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417</v>
      </c>
      <c r="AD36" s="322"/>
      <c r="AE36" s="322"/>
      <c r="AF36" s="322"/>
      <c r="AG36" s="322"/>
      <c r="AH36" s="322"/>
      <c r="AI36" s="322"/>
      <c r="AJ36" s="322"/>
      <c r="AK36" s="266" t="s">
        <v>417</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291</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292</v>
      </c>
    </row>
    <row customHeight="1" ht="14.25">
      <c r="Q39" s="377"/>
      <c r="R39" s="377"/>
      <c r="S39" s="2125" t="s">
        <v>87</v>
      </c>
      <c r="T39" s="2062" t="s">
        <v>418</v>
      </c>
      <c r="U39" s="289"/>
      <c r="V39" s="2126" t="s">
        <v>419</v>
      </c>
      <c r="W39" s="2127"/>
      <c r="X39" s="2127"/>
      <c r="Y39" s="2127"/>
      <c r="Z39" s="2127"/>
      <c r="AA39" s="2127"/>
      <c r="AB39" s="2128"/>
      <c r="AC39" s="2129" t="s">
        <v>420</v>
      </c>
      <c r="AD39" s="2126" t="s">
        <v>419</v>
      </c>
      <c r="AE39" s="2127"/>
      <c r="AF39" s="2127"/>
      <c r="AG39" s="2127"/>
      <c r="AH39" s="2127"/>
      <c r="AI39" s="2127"/>
      <c r="AJ39" s="2128"/>
      <c r="AK39" s="2129" t="s">
        <v>421</v>
      </c>
      <c r="AL39" s="2132" t="s">
        <v>422</v>
      </c>
      <c r="AM39" s="1971"/>
    </row>
    <row customHeight="1" ht="33.75">
      <c r="Q40" s="377"/>
      <c r="R40" s="377"/>
      <c r="S40" s="2125"/>
      <c r="T40" s="2062"/>
      <c r="U40" s="1038"/>
      <c r="V40" s="2135" t="s">
        <v>423</v>
      </c>
      <c r="W40" s="2116"/>
      <c r="X40" s="2118" t="s">
        <v>425</v>
      </c>
      <c r="Y40" s="2120"/>
      <c r="Z40" s="2118" t="s">
        <v>426</v>
      </c>
      <c r="AA40" s="2119"/>
      <c r="AB40" s="2120"/>
      <c r="AC40" s="2130"/>
      <c r="AD40" s="2135" t="s">
        <v>423</v>
      </c>
      <c r="AE40" s="2116"/>
      <c r="AF40" s="2118" t="s">
        <v>425</v>
      </c>
      <c r="AG40" s="2120"/>
      <c r="AH40" s="2118" t="s">
        <v>426</v>
      </c>
      <c r="AI40" s="2119"/>
      <c r="AJ40" s="2120"/>
      <c r="AK40" s="2130"/>
      <c r="AL40" s="2133"/>
      <c r="AM40" s="1971"/>
    </row>
    <row customHeight="1" ht="33.75">
      <c r="A41" s="1400"/>
      <c r="B41" s="1400" t="s">
        <v>134</v>
      </c>
      <c r="C41" s="1400" t="s">
        <v>135</v>
      </c>
      <c r="D41" s="1400" t="s">
        <v>136</v>
      </c>
      <c r="E41" s="1394" t="s">
        <v>427</v>
      </c>
      <c r="F41" s="1394" t="s">
        <v>428</v>
      </c>
      <c r="G41" s="1394" t="s">
        <v>429</v>
      </c>
      <c r="H41" s="1394" t="s">
        <v>430</v>
      </c>
      <c r="I41" s="1394" t="s">
        <v>431</v>
      </c>
      <c r="J41" s="1394" t="s">
        <v>432</v>
      </c>
      <c r="K41" s="1394" t="s">
        <v>433</v>
      </c>
      <c r="L41" s="1394" t="s">
        <v>408</v>
      </c>
      <c r="Q41" s="377"/>
      <c r="R41" s="377"/>
      <c r="S41" s="2125"/>
      <c r="T41" s="2062"/>
      <c r="U41" s="290"/>
      <c r="V41" s="2136"/>
      <c r="W41" s="2117"/>
      <c r="X41" s="1237" t="s">
        <v>434</v>
      </c>
      <c r="Y41" s="1237" t="s">
        <v>435</v>
      </c>
      <c r="Z41" s="1368" t="s">
        <v>436</v>
      </c>
      <c r="AA41" s="2121" t="s">
        <v>437</v>
      </c>
      <c r="AB41" s="2122"/>
      <c r="AC41" s="2131"/>
      <c r="AD41" s="2136"/>
      <c r="AE41" s="2117"/>
      <c r="AF41" s="1237" t="s">
        <v>434</v>
      </c>
      <c r="AG41" s="1237" t="s">
        <v>435</v>
      </c>
      <c r="AH41" s="1368" t="s">
        <v>436</v>
      </c>
      <c r="AI41" s="2121" t="s">
        <v>437</v>
      </c>
      <c r="AJ41" s="2122"/>
      <c r="AK41" s="2131"/>
      <c r="AL41" s="2134"/>
      <c r="AM41" s="1971"/>
    </row>
    <row s="2611"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108</v>
      </c>
      <c r="T42" s="1281" t="s">
        <v>109</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185</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122</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6"/>
      <c r="AP43" s="506" t="str">
        <f>IF(T43="","",T43)</f>
        <v>Наименование тарифа</v>
      </c>
      <c r="AQ43" s="506"/>
      <c r="AR43" s="506"/>
    </row>
    <row customHeight="1" ht="21">
      <c r="A44" s="1393" t="s">
        <v>185</v>
      </c>
      <c r="B44" s="1393" t="s">
        <v>186</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390</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391</v>
      </c>
      <c r="AO44" s="506"/>
      <c r="AP44" s="506" t="str">
        <f>IF(T44="","",T44)</f>
        <v>Территория действия тарифа</v>
      </c>
      <c r="AQ44" s="506"/>
      <c r="AR44" s="506"/>
    </row>
    <row customHeight="1" ht="23.25">
      <c r="A45" s="1393" t="s">
        <v>185</v>
      </c>
      <c r="B45" s="1393" t="s">
        <v>186</v>
      </c>
      <c r="C45" s="1393" t="s">
        <v>187</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392</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393</v>
      </c>
      <c r="AO45" s="506"/>
      <c r="AP45" s="506" t="str">
        <f>IF(T45="","",T45)</f>
        <v>Наименование системы теплоснабжения </v>
      </c>
      <c r="AQ45" s="506"/>
      <c r="AR45" s="506"/>
    </row>
    <row customHeight="1" ht="21">
      <c r="A46" s="1393" t="s">
        <v>185</v>
      </c>
      <c r="B46" s="1393" t="s">
        <v>186</v>
      </c>
      <c r="C46" s="1393" t="s">
        <v>187</v>
      </c>
      <c r="D46" s="1393" t="s">
        <v>188</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394</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395</v>
      </c>
      <c r="AO46" s="506"/>
      <c r="AP46" s="506" t="str">
        <f>IF(T46="","",T46)</f>
        <v>Источник тепловой энергии  </v>
      </c>
      <c r="AQ46" s="506"/>
      <c r="AR46" s="506"/>
    </row>
    <row s="2612" customFormat="1" customHeight="1" ht="0">
      <c r="A47" s="1373" t="s">
        <v>185</v>
      </c>
      <c r="B47" s="1373" t="s">
        <v>186</v>
      </c>
      <c r="C47" s="1373" t="s">
        <v>187</v>
      </c>
      <c r="D47" s="1373" t="s">
        <v>188</v>
      </c>
      <c r="E47" s="2108"/>
      <c r="F47" s="2108"/>
      <c r="G47" s="2108"/>
      <c r="H47" s="2108"/>
      <c r="I47" s="2109" t="str">
        <f>S46&amp;".1"</f>
        <v>....1</v>
      </c>
      <c r="J47" s="1373"/>
      <c r="K47" s="1373"/>
      <c r="L47" s="1376" t="s">
        <v>396</v>
      </c>
      <c r="M47" s="516"/>
      <c r="N47" s="516"/>
      <c r="O47" s="516"/>
      <c r="P47" s="2111">
        <v>1</v>
      </c>
      <c r="Q47" s="1361"/>
      <c r="R47" s="352"/>
      <c r="S47" s="1049"/>
      <c r="T47" s="1413"/>
      <c r="U47" s="1414"/>
      <c r="V47" s="2147"/>
      <c r="W47" s="2148"/>
      <c r="X47" s="2148"/>
      <c r="Y47" s="2148"/>
      <c r="Z47" s="2148"/>
      <c r="AA47" s="2148"/>
      <c r="AB47" s="2148"/>
      <c r="AC47" s="2149"/>
      <c r="AD47" s="2147"/>
      <c r="AE47" s="2148"/>
      <c r="AF47" s="2148"/>
      <c r="AG47" s="2148"/>
      <c r="AH47" s="2148"/>
      <c r="AI47" s="2148"/>
      <c r="AJ47" s="2148"/>
      <c r="AK47" s="2148"/>
      <c r="AL47" s="2149"/>
      <c r="AM47" s="1415"/>
      <c r="AO47" s="506"/>
      <c r="AP47" s="506" t="str">
        <f>IF(T47="","",T47)</f>
        <v/>
      </c>
      <c r="AQ47" s="506"/>
      <c r="AR47" s="506"/>
    </row>
    <row customHeight="1" ht="21">
      <c r="A48" s="1393" t="s">
        <v>185</v>
      </c>
      <c r="B48" s="1393" t="s">
        <v>186</v>
      </c>
      <c r="C48" s="1393" t="s">
        <v>187</v>
      </c>
      <c r="D48" s="1393" t="s">
        <v>188</v>
      </c>
      <c r="E48" s="2108"/>
      <c r="F48" s="2108"/>
      <c r="G48" s="2108"/>
      <c r="H48" s="2108"/>
      <c r="I48" s="2110"/>
      <c r="J48" s="2109" t="str">
        <f>S46&amp;".1"</f>
        <v>....1</v>
      </c>
      <c r="K48" s="1393"/>
      <c r="L48" s="1394" t="s">
        <v>399</v>
      </c>
      <c r="P48" s="2111"/>
      <c r="Q48" s="2111">
        <v>1</v>
      </c>
      <c r="R48" s="353"/>
      <c r="S48" s="1366" t="str">
        <f>$J48</f>
        <v>....1</v>
      </c>
      <c r="T48" s="274" t="s">
        <v>400</v>
      </c>
      <c r="U48" s="288"/>
      <c r="V48" s="2095"/>
      <c r="W48" s="2096"/>
      <c r="X48" s="2096"/>
      <c r="Y48" s="2096"/>
      <c r="Z48" s="2096"/>
      <c r="AA48" s="2096"/>
      <c r="AB48" s="2096"/>
      <c r="AC48" s="2097"/>
      <c r="AD48" s="2095"/>
      <c r="AE48" s="2096"/>
      <c r="AF48" s="2096"/>
      <c r="AG48" s="2096"/>
      <c r="AH48" s="2096"/>
      <c r="AI48" s="2096"/>
      <c r="AJ48" s="2096"/>
      <c r="AK48" s="2096"/>
      <c r="AL48" s="2097"/>
      <c r="AM48" s="1286" t="s">
        <v>401</v>
      </c>
      <c r="AO48" s="506"/>
      <c r="AP48" s="506" t="str">
        <f>IF(T48="","",T48)</f>
        <v>Группа потребителей</v>
      </c>
      <c r="AQ48" s="506"/>
      <c r="AR48" s="506"/>
    </row>
    <row customHeight="1" ht="21">
      <c r="A49" s="1393" t="s">
        <v>185</v>
      </c>
      <c r="B49" s="1393" t="s">
        <v>186</v>
      </c>
      <c r="C49" s="1393" t="s">
        <v>187</v>
      </c>
      <c r="D49" s="1393" t="s">
        <v>188</v>
      </c>
      <c r="E49" s="2108"/>
      <c r="F49" s="2108"/>
      <c r="G49" s="2108"/>
      <c r="H49" s="2108"/>
      <c r="I49" s="2110"/>
      <c r="J49" s="2110"/>
      <c r="K49" s="2109" t="str">
        <f>J48&amp;".1"</f>
        <v>....1.1</v>
      </c>
      <c r="L49" s="1394" t="s">
        <v>402</v>
      </c>
      <c r="P49" s="2111"/>
      <c r="Q49" s="2111"/>
      <c r="R49" s="353">
        <v>1</v>
      </c>
      <c r="S49" s="1366" t="str">
        <f>$K49</f>
        <v>....1.1</v>
      </c>
      <c r="T49" s="1377"/>
      <c r="U49" s="288"/>
      <c r="V49" s="757"/>
      <c r="W49" s="320"/>
      <c r="X49" s="757"/>
      <c r="Y49" s="1285"/>
      <c r="Z49" s="2112"/>
      <c r="AA49" s="1981" t="s">
        <v>61</v>
      </c>
      <c r="AB49" s="2112"/>
      <c r="AC49" s="1981" t="s">
        <v>61</v>
      </c>
      <c r="AD49" s="757"/>
      <c r="AE49" s="320"/>
      <c r="AF49" s="757"/>
      <c r="AG49" s="1285"/>
      <c r="AH49" s="2112"/>
      <c r="AI49" s="1981" t="s">
        <v>61</v>
      </c>
      <c r="AJ49" s="2114"/>
      <c r="AK49" s="1981" t="s">
        <v>61</v>
      </c>
      <c r="AL49" s="1378"/>
      <c r="AM49" s="2137" t="s">
        <v>445</v>
      </c>
      <c r="AN49" s="517">
        <f>STRCHECKDATE(V50:AL50)</f>
      </c>
      <c r="AO49" s="506"/>
      <c r="AP49" s="506" t="str">
        <f>IF(T49="","",T49)</f>
        <v/>
      </c>
      <c r="AQ49" s="506"/>
      <c r="AR49" s="506"/>
    </row>
    <row customHeight="1" ht="0.75">
      <c r="A50" s="1393" t="s">
        <v>185</v>
      </c>
      <c r="B50" s="1393" t="s">
        <v>186</v>
      </c>
      <c r="C50" s="1393" t="s">
        <v>187</v>
      </c>
      <c r="D50" s="1393" t="s">
        <v>188</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185</v>
      </c>
      <c r="B51" s="1393" t="s">
        <v>186</v>
      </c>
      <c r="C51" s="1393" t="s">
        <v>187</v>
      </c>
      <c r="D51" s="1393" t="s">
        <v>188</v>
      </c>
      <c r="E51" s="2108"/>
      <c r="F51" s="2108"/>
      <c r="G51" s="2108"/>
      <c r="H51" s="2108"/>
      <c r="I51" s="2110"/>
      <c r="J51" s="2109"/>
      <c r="K51" s="1393"/>
      <c r="L51" s="1394"/>
      <c r="P51" s="2111"/>
      <c r="Q51" s="2111"/>
      <c r="R51" s="352"/>
      <c r="S51" s="1308"/>
      <c r="T51" s="275" t="s">
        <v>404</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185</v>
      </c>
      <c r="B52" s="1393" t="s">
        <v>186</v>
      </c>
      <c r="C52" s="1393" t="s">
        <v>187</v>
      </c>
      <c r="D52" s="1393" t="s">
        <v>188</v>
      </c>
      <c r="E52" s="2108"/>
      <c r="F52" s="2108"/>
      <c r="G52" s="2108"/>
      <c r="H52" s="2108"/>
      <c r="I52" s="2109"/>
      <c r="J52" s="1393"/>
      <c r="K52" s="1393"/>
      <c r="L52" s="1394"/>
      <c r="P52" s="2111"/>
      <c r="Q52" s="1361"/>
      <c r="R52" s="352"/>
      <c r="S52" s="1308"/>
      <c r="T52" s="364" t="s">
        <v>405</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0">
      <c r="A53" s="1393" t="s">
        <v>185</v>
      </c>
      <c r="B53" s="1393" t="s">
        <v>186</v>
      </c>
      <c r="C53" s="1393" t="s">
        <v>187</v>
      </c>
      <c r="D53" s="1393" t="s">
        <v>188</v>
      </c>
      <c r="E53" s="2108"/>
      <c r="F53" s="2108"/>
      <c r="G53" s="2108"/>
      <c r="H53" s="2107"/>
      <c r="I53" s="1393"/>
      <c r="J53" s="1393"/>
      <c r="K53" s="1393"/>
      <c r="L53" s="1394"/>
      <c r="M53" s="1395"/>
      <c r="N53" s="1395"/>
      <c r="O53" s="543"/>
      <c r="P53" s="356"/>
      <c r="Q53" s="376"/>
      <c r="R53" s="351"/>
      <c r="S53" s="1416"/>
      <c r="T53" s="1417"/>
      <c r="U53" s="1418"/>
      <c r="V53" s="1418"/>
      <c r="W53" s="1418"/>
      <c r="X53" s="1418"/>
      <c r="Y53" s="1418"/>
      <c r="Z53" s="1418"/>
      <c r="AA53" s="1418"/>
      <c r="AB53" s="1418"/>
      <c r="AC53" s="1418"/>
      <c r="AD53" s="1418"/>
      <c r="AE53" s="1418"/>
      <c r="AF53" s="1418"/>
      <c r="AG53" s="1418"/>
      <c r="AH53" s="1418"/>
      <c r="AI53" s="1418"/>
      <c r="AJ53" s="1418"/>
      <c r="AK53" s="1418"/>
      <c r="AL53" s="1418"/>
      <c r="AM53" s="1419"/>
      <c r="AO53" s="506"/>
      <c r="AP53" s="506" t="str">
        <f>IF(T53="","",T53)</f>
        <v/>
      </c>
      <c r="AQ53" s="506"/>
      <c r="AR53" s="506"/>
    </row>
    <row s="3274" customFormat="1" customHeight="1" ht="0.75">
      <c r="A54" s="1373" t="s">
        <v>185</v>
      </c>
      <c r="B54" s="1373" t="s">
        <v>186</v>
      </c>
      <c r="C54" s="1373" t="s">
        <v>187</v>
      </c>
      <c r="D54" s="1344"/>
      <c r="E54" s="2108"/>
      <c r="F54" s="2108"/>
      <c r="G54" s="2107"/>
      <c r="H54" s="1344"/>
      <c r="I54" s="1344"/>
      <c r="J54" s="1344"/>
      <c r="K54" s="1344"/>
      <c r="L54" s="1369"/>
      <c r="M54" s="1345"/>
      <c r="N54" s="1345"/>
      <c r="P54" s="1346"/>
      <c r="Q54" s="1347"/>
      <c r="R54" s="1346"/>
      <c r="S54" s="1352"/>
      <c r="T54" s="1355" t="s">
        <v>167</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274" customFormat="1" customHeight="1" ht="0.75">
      <c r="A55" s="1373" t="s">
        <v>185</v>
      </c>
      <c r="B55" s="1373" t="s">
        <v>186</v>
      </c>
      <c r="C55" s="1344"/>
      <c r="D55" s="1344"/>
      <c r="E55" s="2108"/>
      <c r="F55" s="2107"/>
      <c r="G55" s="1344"/>
      <c r="H55" s="1344"/>
      <c r="I55" s="1344"/>
      <c r="J55" s="1344"/>
      <c r="K55" s="1344"/>
      <c r="L55" s="1369"/>
      <c r="M55" s="1351"/>
      <c r="N55" s="1351"/>
      <c r="P55" s="1346"/>
      <c r="Q55" s="1347"/>
      <c r="R55" s="1346"/>
      <c r="S55" s="1352"/>
      <c r="T55" s="1355" t="s">
        <v>168</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2" customFormat="1" customHeight="1" ht="0.75">
      <c r="A56" s="1373" t="s">
        <v>185</v>
      </c>
      <c r="B56" s="1373"/>
      <c r="C56" s="1373"/>
      <c r="D56" s="1373"/>
      <c r="E56" s="2107"/>
      <c r="F56" s="1373"/>
      <c r="G56" s="1373"/>
      <c r="H56" s="1373"/>
      <c r="I56" s="1373"/>
      <c r="J56" s="1373"/>
      <c r="K56" s="1373"/>
      <c r="L56" s="1376"/>
      <c r="M56" s="1351"/>
      <c r="N56" s="1351"/>
      <c r="O56" s="524"/>
      <c r="P56" s="385"/>
      <c r="Q56" s="1374"/>
      <c r="R56" s="385"/>
      <c r="S56" s="1352"/>
      <c r="T56" s="1355" t="s">
        <v>169</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274"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170</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21.75">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29.2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39.75">
      <c r="O61" s="543"/>
      <c r="T61" s="2106"/>
      <c r="U61" s="2106"/>
      <c r="V61" s="2106"/>
      <c r="W61" s="2106"/>
      <c r="X61" s="2106"/>
      <c r="Y61" s="2106"/>
      <c r="Z61" s="2106"/>
      <c r="AA61" s="2106"/>
      <c r="AB61" s="2106"/>
      <c r="AC61" s="2106"/>
      <c r="AD61" s="2106"/>
      <c r="AE61" s="2106"/>
      <c r="AF61" s="2106"/>
      <c r="AG61" s="2106"/>
      <c r="AH61" s="2106"/>
      <c r="AI61" s="2106"/>
      <c r="AJ61" s="2106"/>
      <c r="AK61" s="2106"/>
      <c r="AL61" s="2106"/>
      <c r="AM61" s="2106"/>
    </row>
    <row customHeight="1" ht="14.25">
      <c r="O62" s="543"/>
    </row>
    <row customHeight="1" ht="19.5">
      <c r="O63" s="543"/>
      <c r="S63" s="1273"/>
      <c r="T63" s="2150"/>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27.75">
      <c r="O64" s="543"/>
      <c r="T64" s="2106"/>
      <c r="U64" s="2106"/>
      <c r="V64" s="2106"/>
      <c r="W64" s="2106"/>
      <c r="X64" s="2106"/>
      <c r="Y64" s="2106"/>
      <c r="Z64" s="2106"/>
      <c r="AA64" s="2106"/>
      <c r="AB64" s="2106"/>
      <c r="AC64" s="2106"/>
      <c r="AD64" s="2106"/>
      <c r="AE64" s="2106"/>
      <c r="AF64" s="2106"/>
      <c r="AG64" s="2106"/>
      <c r="AH64" s="2106"/>
      <c r="AI64" s="2106"/>
      <c r="AJ64" s="2106"/>
      <c r="AK64" s="2106"/>
      <c r="AL64" s="2106"/>
      <c r="AM64" s="2106"/>
    </row>
    <row customHeight="1" ht="33.75">
      <c r="T65" s="2106"/>
      <c r="U65" s="2106"/>
      <c r="V65" s="2106"/>
      <c r="W65" s="2106"/>
      <c r="X65" s="2106"/>
      <c r="Y65" s="2106"/>
      <c r="Z65" s="2106"/>
      <c r="AA65" s="2106"/>
      <c r="AB65" s="2106"/>
      <c r="AC65" s="2106"/>
      <c r="AD65" s="2106"/>
      <c r="AE65" s="2106"/>
      <c r="AF65" s="2106"/>
      <c r="AG65" s="2106"/>
      <c r="AH65" s="2106"/>
      <c r="AI65" s="2106"/>
      <c r="AJ65" s="2106"/>
      <c r="AK65" s="2106"/>
      <c r="AL65" s="2106"/>
      <c r="AM65" s="2106"/>
    </row>
  </sheetData>
  <sheetProtection formatColumns="0" formatRows="0" autoFilter="0" sort="0" insertRows="0" insertColumns="1" deleteRows="0" deleteColumns="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BC2C28-0738-93E8-8498-82BB07A38698}"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3293" width="10.57421875" hidden="1"/>
    <col min="2" max="2" style="3293" width="11.00390625" hidden="1" customWidth="1"/>
    <col min="3" max="3" style="3293" width="10.57421875" hidden="1"/>
    <col min="4" max="4" style="3293" width="11.8515625" hidden="1" customWidth="1"/>
    <col min="5" max="5" style="3293" width="10.00390625" hidden="1" customWidth="1"/>
    <col min="6" max="6" style="3293" width="8.7109375" hidden="1" customWidth="1"/>
    <col min="7" max="7" style="3293" width="7.57421875" hidden="1" customWidth="1"/>
    <col min="8" max="8" style="3293" width="11.421875" hidden="1" customWidth="1"/>
    <col min="9" max="9" style="3293" width="12.00390625" hidden="1" customWidth="1"/>
    <col min="10" max="10" style="3293" width="9.8515625" hidden="1" customWidth="1"/>
    <col min="11" max="11" style="3293" width="11.421875" hidden="1" customWidth="1"/>
    <col min="12" max="12" style="3294" width="19.140625" hidden="1" customWidth="1"/>
    <col min="13" max="14" style="3295" width="12.28125" hidden="1" customWidth="1"/>
    <col min="15" max="15" style="3295" width="23.421875" hidden="1" customWidth="1"/>
    <col min="16" max="16" style="3316" width="3.7109375" hidden="1" customWidth="1"/>
    <col min="17" max="18" style="3372" width="3.7109375" customWidth="1"/>
    <col min="19" max="19" style="3373" width="12.7109375" customWidth="1"/>
    <col min="20" max="20" style="2941" width="32.00390625" customWidth="1"/>
    <col min="21" max="21" style="2941" width="0.140625" customWidth="1"/>
    <col min="22" max="22" style="2941" width="24.7109375" hidden="1" customWidth="1"/>
    <col min="23" max="23" style="2941" width="0.140625" hidden="1" customWidth="1"/>
    <col min="24" max="25" style="2941" width="24.7109375" hidden="1" customWidth="1"/>
    <col min="26" max="26" style="2941" width="11.7109375" hidden="1" customWidth="1"/>
    <col min="27" max="27" style="2941" width="3.7109375" hidden="1" customWidth="1"/>
    <col min="28" max="28" style="2941" width="11.7109375" hidden="1" customWidth="1"/>
    <col min="29" max="29" style="2941" width="8.57421875" hidden="1" customWidth="1"/>
    <col min="30" max="30" style="2941" width="24.7109375" customWidth="1"/>
    <col min="31" max="31" style="2941" width="0.140625" customWidth="1"/>
    <col min="32" max="33" style="2941" width="24.7109375" customWidth="1"/>
    <col min="34" max="34" style="2941" width="11.7109375" customWidth="1"/>
    <col min="35" max="35" style="2941" width="3.7109375" customWidth="1"/>
    <col min="36" max="36" style="2941" width="11.7109375" customWidth="1"/>
    <col min="37" max="37" style="2941" width="8.57421875" hidden="1" customWidth="1"/>
    <col min="38" max="38" style="2941" width="4.7109375" customWidth="1"/>
    <col min="39" max="39" style="2941" width="115.7109375" customWidth="1"/>
    <col min="40" max="41" style="2612" width="10.57421875"/>
    <col min="42" max="42" style="2612" width="11.140625" customWidth="1"/>
    <col min="43" max="44" style="2612"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122</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389</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390</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391</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392</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393</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394</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395</v>
      </c>
      <c r="AO5" s="506"/>
      <c r="AP5" s="506" t="str">
        <f>IF(T5="","",T5)</f>
        <v>Источник тепловой энергии  </v>
      </c>
      <c r="AQ5" s="506"/>
      <c r="AR5" s="506"/>
    </row>
    <row customHeight="1" ht="14.25" hidden="1">
      <c r="A6" s="1393"/>
      <c r="B6" s="1393"/>
      <c r="C6" s="1393"/>
      <c r="D6" s="1393"/>
      <c r="E6" s="2108"/>
      <c r="F6" s="2108"/>
      <c r="G6" s="2108"/>
      <c r="H6" s="2108"/>
      <c r="I6" s="2109">
        <f>S5&amp;".1"</f>
      </c>
      <c r="J6" s="1393"/>
      <c r="K6" s="1393"/>
      <c r="L6" s="1394" t="s">
        <v>396</v>
      </c>
      <c r="M6" s="543"/>
      <c r="P6" s="2111">
        <v>1</v>
      </c>
      <c r="Q6" s="1361"/>
      <c r="R6" s="352"/>
      <c r="S6" s="1049"/>
      <c r="T6" s="1413"/>
      <c r="U6" s="1414"/>
      <c r="V6" s="2147"/>
      <c r="W6" s="2148"/>
      <c r="X6" s="2148"/>
      <c r="Y6" s="2148"/>
      <c r="Z6" s="2148"/>
      <c r="AA6" s="2148"/>
      <c r="AB6" s="2148"/>
      <c r="AC6" s="2149"/>
      <c r="AD6" s="2147"/>
      <c r="AE6" s="2148"/>
      <c r="AF6" s="2148"/>
      <c r="AG6" s="2148"/>
      <c r="AH6" s="2148"/>
      <c r="AI6" s="2148"/>
      <c r="AJ6" s="2148"/>
      <c r="AK6" s="2148"/>
      <c r="AL6" s="2149"/>
      <c r="AM6" s="1415"/>
      <c r="AO6" s="506"/>
      <c r="AP6" s="506" t="str">
        <f>IF(T6="","",T6)</f>
        <v/>
      </c>
      <c r="AQ6" s="506"/>
      <c r="AR6" s="506"/>
    </row>
    <row customHeight="1" ht="21" hidden="1">
      <c r="A7" s="1393"/>
      <c r="B7" s="1393"/>
      <c r="C7" s="1393"/>
      <c r="D7" s="1393"/>
      <c r="E7" s="2108"/>
      <c r="F7" s="2108"/>
      <c r="G7" s="2108"/>
      <c r="H7" s="2108"/>
      <c r="I7" s="2110"/>
      <c r="J7" s="2109">
        <f>I6&amp;".1"</f>
      </c>
      <c r="K7" s="1393"/>
      <c r="L7" s="1394" t="s">
        <v>399</v>
      </c>
      <c r="M7" s="543"/>
      <c r="N7" s="1396"/>
      <c r="P7" s="2111"/>
      <c r="Q7" s="2111">
        <v>1</v>
      </c>
      <c r="R7" s="353"/>
      <c r="S7" s="1366">
        <f>$J7</f>
      </c>
      <c r="T7" s="274" t="s">
        <v>400</v>
      </c>
      <c r="U7" s="288"/>
      <c r="V7" s="2095"/>
      <c r="W7" s="2096"/>
      <c r="X7" s="2096"/>
      <c r="Y7" s="2096"/>
      <c r="Z7" s="2096"/>
      <c r="AA7" s="2096"/>
      <c r="AB7" s="2096"/>
      <c r="AC7" s="2097"/>
      <c r="AD7" s="2095"/>
      <c r="AE7" s="2096"/>
      <c r="AF7" s="2096"/>
      <c r="AG7" s="2096"/>
      <c r="AH7" s="2096"/>
      <c r="AI7" s="2096"/>
      <c r="AJ7" s="2096"/>
      <c r="AK7" s="2096"/>
      <c r="AL7" s="2097"/>
      <c r="AM7" s="1286" t="s">
        <v>401</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402</v>
      </c>
      <c r="M8" s="543"/>
      <c r="N8" s="1396"/>
      <c r="O8" s="1396"/>
      <c r="P8" s="2111"/>
      <c r="Q8" s="2111"/>
      <c r="R8" s="353">
        <v>1</v>
      </c>
      <c r="S8" s="1366">
        <f>$K8</f>
      </c>
      <c r="T8" s="1377"/>
      <c r="U8" s="288"/>
      <c r="V8" s="757"/>
      <c r="W8" s="320"/>
      <c r="X8" s="757"/>
      <c r="Y8" s="1285"/>
      <c r="Z8" s="2112"/>
      <c r="AA8" s="1981" t="s">
        <v>61</v>
      </c>
      <c r="AB8" s="2112"/>
      <c r="AC8" s="1981" t="s">
        <v>61</v>
      </c>
      <c r="AD8" s="757"/>
      <c r="AE8" s="320"/>
      <c r="AF8" s="757"/>
      <c r="AG8" s="1285"/>
      <c r="AH8" s="2112"/>
      <c r="AI8" s="1981" t="s">
        <v>61</v>
      </c>
      <c r="AJ8" s="2112"/>
      <c r="AK8" s="1981" t="s">
        <v>61</v>
      </c>
      <c r="AL8" s="320"/>
      <c r="AM8" s="2137" t="s">
        <v>403</v>
      </c>
      <c r="AN8" s="517">
        <f>STRCHECKDATE(V9:AL9)</f>
      </c>
      <c r="AO8" s="506"/>
      <c r="AP8" s="506" t="str">
        <f>IF(T8="","",T8)</f>
        <v/>
      </c>
      <c r="AQ8" s="506"/>
      <c r="AR8" s="506"/>
    </row>
    <row customHeight="1" ht="14.2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5" t="s">
        <v>404</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1.25" hidden="1">
      <c r="A11" s="1393"/>
      <c r="B11" s="1393"/>
      <c r="C11" s="1393"/>
      <c r="D11" s="1393"/>
      <c r="E11" s="2108"/>
      <c r="F11" s="2108"/>
      <c r="G11" s="2108"/>
      <c r="H11" s="2108"/>
      <c r="I11" s="2109"/>
      <c r="J11" s="1393"/>
      <c r="K11" s="1393"/>
      <c r="L11" s="1394"/>
      <c r="M11" s="543"/>
      <c r="P11" s="2111"/>
      <c r="Q11" s="1361"/>
      <c r="R11" s="352"/>
      <c r="S11" s="1308"/>
      <c r="T11" s="364" t="s">
        <v>405</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416"/>
      <c r="T12" s="1417"/>
      <c r="U12" s="1418"/>
      <c r="V12" s="1418"/>
      <c r="W12" s="1418"/>
      <c r="X12" s="1418"/>
      <c r="Y12" s="1418"/>
      <c r="Z12" s="1418"/>
      <c r="AA12" s="1418"/>
      <c r="AB12" s="1418"/>
      <c r="AC12" s="1418"/>
      <c r="AD12" s="1418"/>
      <c r="AE12" s="1418"/>
      <c r="AF12" s="1418"/>
      <c r="AG12" s="1418"/>
      <c r="AH12" s="1418"/>
      <c r="AI12" s="1418"/>
      <c r="AJ12" s="1418"/>
      <c r="AK12" s="1418"/>
      <c r="AL12" s="1418"/>
      <c r="AM12" s="1419"/>
      <c r="AO12" s="506"/>
      <c r="AP12" s="506" t="str">
        <f>IF(T12="","",T12)</f>
        <v/>
      </c>
      <c r="AQ12" s="506"/>
      <c r="AR12" s="506"/>
    </row>
    <row s="3274" customFormat="1" customHeight="1" ht="14.25" hidden="1">
      <c r="A13" s="1344"/>
      <c r="B13" s="1344"/>
      <c r="C13" s="1344"/>
      <c r="D13" s="1344"/>
      <c r="E13" s="2108"/>
      <c r="F13" s="2108"/>
      <c r="G13" s="2107"/>
      <c r="H13" s="1344"/>
      <c r="I13" s="1344"/>
      <c r="J13" s="1344"/>
      <c r="K13" s="1344"/>
      <c r="L13" s="1369"/>
      <c r="M13" s="1345"/>
      <c r="N13" s="1345"/>
      <c r="P13" s="1346"/>
      <c r="Q13" s="1347"/>
      <c r="R13" s="1346"/>
      <c r="S13" s="1348"/>
      <c r="T13" s="1349" t="s">
        <v>167</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274" customFormat="1" customHeight="1" ht="14.25" hidden="1">
      <c r="A14" s="1344"/>
      <c r="B14" s="1344"/>
      <c r="C14" s="1344"/>
      <c r="D14" s="1344"/>
      <c r="E14" s="2108"/>
      <c r="F14" s="2107"/>
      <c r="G14" s="1344"/>
      <c r="H14" s="1344"/>
      <c r="I14" s="1344"/>
      <c r="J14" s="1344"/>
      <c r="K14" s="1344"/>
      <c r="L14" s="1369"/>
      <c r="M14" s="1351"/>
      <c r="N14" s="1351"/>
      <c r="P14" s="1346"/>
      <c r="Q14" s="1347"/>
      <c r="R14" s="1346"/>
      <c r="S14" s="1352"/>
      <c r="T14" s="1353" t="s">
        <v>168</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274" customFormat="1" customHeight="1" ht="14.25" hidden="1">
      <c r="A15" s="1344"/>
      <c r="B15" s="1344"/>
      <c r="C15" s="1344"/>
      <c r="D15" s="1344"/>
      <c r="E15" s="2107"/>
      <c r="F15" s="1344"/>
      <c r="G15" s="1344"/>
      <c r="H15" s="1344"/>
      <c r="I15" s="1344"/>
      <c r="J15" s="1344"/>
      <c r="K15" s="1344"/>
      <c r="L15" s="1369"/>
      <c r="M15" s="1351"/>
      <c r="N15" s="1351"/>
      <c r="P15" s="1346"/>
      <c r="Q15" s="1347"/>
      <c r="R15" s="1346"/>
      <c r="S15" s="1352"/>
      <c r="T15" s="1355" t="s">
        <v>169</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61</v>
      </c>
      <c r="AJ17" s="2105"/>
      <c r="AK17" s="2104" t="s">
        <v>61</v>
      </c>
    </row>
    <row customHeight="1" ht="14.25" hidden="1">
      <c r="AD18" s="1390"/>
      <c r="AE18" s="1390"/>
      <c r="AF18" s="1390"/>
      <c r="AG18" s="324" t="str">
        <f>AH17&amp;"-"&amp;AJ17</f>
        <v>-</v>
      </c>
      <c r="AH18" s="2104"/>
      <c r="AI18" s="2104"/>
      <c r="AJ18" s="2104"/>
      <c r="AK18" s="2104"/>
    </row>
    <row customHeight="1" ht="14.25" hidden="1">
      <c r="AK19" s="323"/>
    </row>
    <row s="3293" customFormat="1" customHeight="1" ht="22.5" hidden="1">
      <c r="L20" s="1359"/>
      <c r="M20" s="1392"/>
      <c r="N20" s="1392"/>
      <c r="O20" s="1397" t="s">
        <v>407</v>
      </c>
      <c r="P20" s="1392"/>
      <c r="Q20" s="1401"/>
      <c r="R20" s="1401"/>
      <c r="S20" s="735"/>
      <c r="Z20" s="1397"/>
      <c r="AB20" s="1397"/>
      <c r="AC20" s="1396"/>
      <c r="AH20" s="1397"/>
      <c r="AJ20" s="1397"/>
      <c r="AK20" s="1396"/>
      <c r="AN20" s="517"/>
      <c r="AO20" s="517"/>
      <c r="AP20" s="517"/>
      <c r="AQ20" s="517"/>
      <c r="AR20" s="517"/>
    </row>
    <row s="3293" customFormat="1" customHeight="1" ht="14.25" hidden="1">
      <c r="L21" s="1359"/>
      <c r="M21" s="1392"/>
      <c r="N21" s="1392"/>
      <c r="O21" s="1392"/>
      <c r="P21" s="1392"/>
      <c r="Q21" s="1401"/>
      <c r="R21" s="1401"/>
      <c r="S21" s="735"/>
      <c r="AC21" s="1396"/>
      <c r="AK21" s="1396"/>
      <c r="AN21" s="517"/>
      <c r="AO21" s="517"/>
      <c r="AP21" s="517"/>
      <c r="AQ21" s="517"/>
      <c r="AR21" s="517"/>
    </row>
    <row s="3293" customFormat="1" customHeight="1" ht="14.25" hidden="1">
      <c r="L22" s="1359"/>
      <c r="M22" s="1392"/>
      <c r="N22" s="1392"/>
      <c r="O22" s="1394" t="s">
        <v>408</v>
      </c>
      <c r="P22" s="1392"/>
      <c r="Q22" s="1401"/>
      <c r="R22" s="1401"/>
      <c r="S22" s="735"/>
      <c r="T22" s="1168" t="s">
        <v>409</v>
      </c>
      <c r="AA22" s="172" t="s">
        <v>410</v>
      </c>
      <c r="AC22" s="172" t="s">
        <v>411</v>
      </c>
      <c r="AD22" s="1168" t="s">
        <v>409</v>
      </c>
      <c r="AI22" s="172" t="s">
        <v>412</v>
      </c>
      <c r="AK22" s="172" t="s">
        <v>411</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51">
      <c r="Q26" s="377"/>
      <c r="R26" s="377"/>
      <c r="S26" s="214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МУП г. Азова "Теплоэнерго"</v>
      </c>
      <c r="T27" s="2141"/>
      <c r="U27" s="2141"/>
      <c r="V27" s="2141"/>
      <c r="W27" s="2141"/>
      <c r="X27" s="2141"/>
      <c r="Y27" s="2141"/>
      <c r="Z27" s="2141"/>
      <c r="AA27" s="2141"/>
      <c r="AB27" s="2141"/>
      <c r="AC27" s="2141"/>
      <c r="AD27" s="2141"/>
      <c r="AE27" s="2141"/>
      <c r="AF27" s="2141"/>
      <c r="AG27" s="2141"/>
      <c r="AH27" s="2141"/>
      <c r="AI27" s="2141"/>
      <c r="AJ27" s="2141"/>
      <c r="AK27" s="1261"/>
    </row>
    <row customHeight="1" ht="14.25">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06" customFormat="1" customHeight="1" ht="25.5">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Региональная служба по тарифам Ростовской области</v>
      </c>
      <c r="W29" s="2100"/>
      <c r="X29" s="2100"/>
      <c r="Y29" s="2100"/>
      <c r="Z29" s="2100"/>
      <c r="AA29" s="2100"/>
      <c r="AB29" s="2100"/>
      <c r="AC29" s="322"/>
      <c r="AD29" s="2100" t="str">
        <f>IF(TITLE_NAME_OR_PR_CHANGE="",IF(TITLE_NAME_OR_PR="","",TITLE_NAME_OR_PR),TITLE_NAME_OR_PR_CHANGE)</f>
        <v>Региональная служба по тарифам Ростовской области</v>
      </c>
      <c r="AE29" s="2100"/>
      <c r="AF29" s="2100"/>
      <c r="AG29" s="2100"/>
      <c r="AH29" s="2100"/>
      <c r="AI29" s="2100"/>
      <c r="AJ29" s="2100"/>
      <c r="AK29" s="322"/>
      <c r="AL29" s="322"/>
      <c r="AM29" s="268"/>
      <c r="AN29" s="368"/>
      <c r="AO29" s="368"/>
      <c r="AP29" s="368"/>
      <c r="AQ29" s="368"/>
      <c r="AR29" s="368"/>
    </row>
    <row s="3306" customFormat="1" customHeight="1" ht="18.75">
      <c r="A30" s="1398"/>
      <c r="B30" s="1398"/>
      <c r="C30" s="1398"/>
      <c r="D30" s="1398"/>
      <c r="E30" s="1398"/>
      <c r="F30" s="1398"/>
      <c r="G30" s="1398"/>
      <c r="H30" s="1398"/>
      <c r="I30" s="1398"/>
      <c r="J30" s="1398"/>
      <c r="K30" s="1398"/>
      <c r="L30" s="1399"/>
      <c r="M30" s="1398"/>
      <c r="N30" s="1398"/>
      <c r="O30" s="1398"/>
      <c r="S30" s="2098" t="s">
        <v>413</v>
      </c>
      <c r="T30" s="2098"/>
      <c r="U30" s="1402"/>
      <c r="V30" s="2099" t="str">
        <f>IF(TITLE_DATE_PR_CHANGE="",IF(TITLE_DATE_PR="","",TITLE_DATE_PR),TITLE_DATE_PR_CHANGE)</f>
        <v>45245.61800925926</v>
      </c>
      <c r="W30" s="2099"/>
      <c r="X30" s="2099"/>
      <c r="Y30" s="2099"/>
      <c r="Z30" s="2099"/>
      <c r="AA30" s="2099"/>
      <c r="AB30" s="2099"/>
      <c r="AC30" s="322"/>
      <c r="AD30" s="2099" t="str">
        <f>IF(TITLE_DATE_PR_CHANGE="",IF(TITLE_DATE_PR="","",TITLE_DATE_PR),TITLE_DATE_PR_CHANGE)</f>
        <v>45245.61800925926</v>
      </c>
      <c r="AE30" s="2099"/>
      <c r="AF30" s="2099"/>
      <c r="AG30" s="2099"/>
      <c r="AH30" s="2099"/>
      <c r="AI30" s="2099"/>
      <c r="AJ30" s="2099"/>
      <c r="AK30" s="322"/>
      <c r="AL30" s="322"/>
      <c r="AM30" s="268"/>
      <c r="AN30" s="368"/>
      <c r="AO30" s="368"/>
      <c r="AP30" s="368"/>
      <c r="AQ30" s="368"/>
      <c r="AR30" s="368"/>
    </row>
    <row s="3306" customFormat="1" customHeight="1" ht="18.75">
      <c r="A31" s="1398"/>
      <c r="B31" s="1398"/>
      <c r="C31" s="1398"/>
      <c r="D31" s="1398"/>
      <c r="E31" s="1398"/>
      <c r="F31" s="1398"/>
      <c r="G31" s="1398"/>
      <c r="H31" s="1398"/>
      <c r="I31" s="1398"/>
      <c r="J31" s="1398"/>
      <c r="K31" s="1398"/>
      <c r="L31" s="1399"/>
      <c r="M31" s="1398"/>
      <c r="N31" s="1398"/>
      <c r="O31" s="1398"/>
      <c r="S31" s="2098" t="s">
        <v>414</v>
      </c>
      <c r="T31" s="2098"/>
      <c r="U31" s="1402"/>
      <c r="V31" s="2100" t="str">
        <f>IF(TITLE_NUMBER_PR_CHANGE="",IF(TITLE_NUMBER_PR="","",TITLE_NUMBER_PR),TITLE_NUMBER_PR_CHANGE)</f>
        <v>550</v>
      </c>
      <c r="W31" s="2100"/>
      <c r="X31" s="2100"/>
      <c r="Y31" s="2100"/>
      <c r="Z31" s="2100"/>
      <c r="AA31" s="2100"/>
      <c r="AB31" s="2100"/>
      <c r="AC31" s="322"/>
      <c r="AD31" s="2100" t="str">
        <f>IF(TITLE_NUMBER_PR_CHANGE="",IF(TITLE_NUMBER_PR="","",TITLE_NUMBER_PR),TITLE_NUMBER_PR_CHANGE)</f>
        <v>550</v>
      </c>
      <c r="AE31" s="2100"/>
      <c r="AF31" s="2100"/>
      <c r="AG31" s="2100"/>
      <c r="AH31" s="2100"/>
      <c r="AI31" s="2100"/>
      <c r="AJ31" s="2100"/>
      <c r="AK31" s="322"/>
      <c r="AL31" s="322"/>
      <c r="AM31" s="268"/>
      <c r="AN31" s="368"/>
      <c r="AO31" s="368"/>
      <c r="AP31" s="368"/>
      <c r="AQ31" s="368"/>
      <c r="AR31" s="368"/>
    </row>
    <row s="3306" customFormat="1" customHeight="1" ht="18.75">
      <c r="A32" s="1398"/>
      <c r="B32" s="1398"/>
      <c r="C32" s="1398"/>
      <c r="D32" s="1398"/>
      <c r="E32" s="1398"/>
      <c r="F32" s="1398"/>
      <c r="G32" s="1398"/>
      <c r="H32" s="1398"/>
      <c r="I32" s="1398"/>
      <c r="J32" s="1398"/>
      <c r="K32" s="1398"/>
      <c r="L32" s="1399"/>
      <c r="M32" s="1398"/>
      <c r="N32" s="1398"/>
      <c r="O32" s="1398"/>
      <c r="S32" s="2098" t="s">
        <v>40</v>
      </c>
      <c r="T32" s="2098"/>
      <c r="U32" s="1402"/>
      <c r="V32" s="2100" t="str">
        <f>IF(TITLE_IST_PUB_CHANGE="",IF(TITLE_IST_PUB="","",TITLE_IST_PUB),TITLE_IST_PUB_CHANGE)</f>
        <v>https://rst.donland.ru</v>
      </c>
      <c r="W32" s="2100"/>
      <c r="X32" s="2100"/>
      <c r="Y32" s="2100"/>
      <c r="Z32" s="2100"/>
      <c r="AA32" s="2100"/>
      <c r="AB32" s="2100"/>
      <c r="AC32" s="322"/>
      <c r="AD32" s="2100" t="str">
        <f>IF(TITLE_IST_PUB_CHANGE="",IF(TITLE_IST_PUB="","",TITLE_IST_PUB),TITLE_IST_PUB_CHANGE)</f>
        <v>https://rst.donland.ru</v>
      </c>
      <c r="AE32" s="2100"/>
      <c r="AF32" s="2100"/>
      <c r="AG32" s="2100"/>
      <c r="AH32" s="2100"/>
      <c r="AI32" s="2100"/>
      <c r="AJ32" s="2100"/>
      <c r="AK32" s="322"/>
      <c r="AL32" s="322"/>
      <c r="AM32" s="268"/>
      <c r="AN32" s="368"/>
      <c r="AO32" s="368"/>
      <c r="AP32" s="368"/>
      <c r="AQ32" s="368"/>
      <c r="AR32" s="368"/>
    </row>
    <row customHeight="1" ht="14.25" hidden="1">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06" customFormat="1" customHeight="1" ht="18.75" hidden="1">
      <c r="A34" s="1398"/>
      <c r="B34" s="1398"/>
      <c r="C34" s="1398"/>
      <c r="D34" s="1398"/>
      <c r="E34" s="1398"/>
      <c r="F34" s="1398"/>
      <c r="G34" s="1398"/>
      <c r="H34" s="1398"/>
      <c r="I34" s="1398"/>
      <c r="J34" s="1398"/>
      <c r="K34" s="1398"/>
      <c r="L34" s="1399"/>
      <c r="M34" s="1398"/>
      <c r="N34" s="1398"/>
      <c r="O34" s="1398"/>
      <c r="S34" s="2098" t="s">
        <v>415</v>
      </c>
      <c r="T34" s="2098"/>
      <c r="U34" s="1402"/>
      <c r="V34" s="2099" t="str">
        <f>IF(TITLE_DATE_PR_CHANGE="",IF(TITLE_DATE_PR="","",TITLE_DATE_PR),TITLE_DATE_PR_CHANGE)</f>
        <v>45245.61800925926</v>
      </c>
      <c r="W34" s="2099"/>
      <c r="X34" s="2099"/>
      <c r="Y34" s="2099"/>
      <c r="Z34" s="2099"/>
      <c r="AA34" s="2099"/>
      <c r="AB34" s="2099"/>
      <c r="AC34" s="322"/>
      <c r="AD34" s="2099" t="str">
        <f>IF(TITLE_DATE_PR_CHANGE="",IF(TITLE_DATE_PR="","",TITLE_DATE_PR),TITLE_DATE_PR_CHANGE)</f>
        <v>45245.61800925926</v>
      </c>
      <c r="AE34" s="2099"/>
      <c r="AF34" s="2099"/>
      <c r="AG34" s="2099"/>
      <c r="AH34" s="2099"/>
      <c r="AI34" s="2099"/>
      <c r="AJ34" s="2099"/>
      <c r="AK34" s="322"/>
      <c r="AL34" s="322"/>
      <c r="AM34" s="268"/>
      <c r="AN34" s="368"/>
      <c r="AO34" s="368"/>
      <c r="AP34" s="368"/>
      <c r="AQ34" s="368"/>
      <c r="AR34" s="368"/>
    </row>
    <row s="3306" customFormat="1" customHeight="1" ht="25.5" hidden="1">
      <c r="A35" s="1398"/>
      <c r="B35" s="1398"/>
      <c r="C35" s="1398"/>
      <c r="D35" s="1398"/>
      <c r="E35" s="1398"/>
      <c r="F35" s="1398"/>
      <c r="G35" s="1398"/>
      <c r="H35" s="1398"/>
      <c r="I35" s="1398"/>
      <c r="J35" s="1398"/>
      <c r="K35" s="1398"/>
      <c r="L35" s="1399"/>
      <c r="M35" s="1398"/>
      <c r="N35" s="1398"/>
      <c r="O35" s="1398"/>
      <c r="S35" s="2098" t="s">
        <v>416</v>
      </c>
      <c r="T35" s="2098"/>
      <c r="U35" s="1402"/>
      <c r="V35" s="2100" t="str">
        <f>IF(TITLE_NUMBER_PR_CHANGE="",IF(TITLE_NUMBER_PR="","",TITLE_NUMBER_PR),TITLE_NUMBER_PR_CHANGE)</f>
        <v>550</v>
      </c>
      <c r="W35" s="2100"/>
      <c r="X35" s="2100"/>
      <c r="Y35" s="2100"/>
      <c r="Z35" s="2100"/>
      <c r="AA35" s="2100"/>
      <c r="AB35" s="2100"/>
      <c r="AC35" s="322"/>
      <c r="AD35" s="2100" t="str">
        <f>IF(TITLE_NUMBER_PR_CHANGE="",IF(TITLE_NUMBER_PR="","",TITLE_NUMBER_PR),TITLE_NUMBER_PR_CHANGE)</f>
        <v>550</v>
      </c>
      <c r="AE35" s="2100"/>
      <c r="AF35" s="2100"/>
      <c r="AG35" s="2100"/>
      <c r="AH35" s="2100"/>
      <c r="AI35" s="2100"/>
      <c r="AJ35" s="2100"/>
      <c r="AK35" s="322"/>
      <c r="AL35" s="322"/>
      <c r="AM35" s="268"/>
      <c r="AN35" s="368"/>
      <c r="AO35" s="368"/>
      <c r="AP35" s="368"/>
      <c r="AQ35" s="368"/>
      <c r="AR35" s="368"/>
    </row>
    <row s="3306"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417</v>
      </c>
      <c r="AD36" s="322"/>
      <c r="AE36" s="322"/>
      <c r="AF36" s="322"/>
      <c r="AG36" s="322"/>
      <c r="AH36" s="322"/>
      <c r="AI36" s="322"/>
      <c r="AJ36" s="322"/>
      <c r="AK36" s="266" t="s">
        <v>417</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291</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292</v>
      </c>
    </row>
    <row customHeight="1" ht="14.25">
      <c r="Q39" s="377"/>
      <c r="R39" s="377"/>
      <c r="S39" s="2125" t="s">
        <v>87</v>
      </c>
      <c r="T39" s="2062" t="s">
        <v>418</v>
      </c>
      <c r="U39" s="289"/>
      <c r="V39" s="2126" t="s">
        <v>419</v>
      </c>
      <c r="W39" s="2127"/>
      <c r="X39" s="2127"/>
      <c r="Y39" s="2127"/>
      <c r="Z39" s="2127"/>
      <c r="AA39" s="2127"/>
      <c r="AB39" s="2128"/>
      <c r="AC39" s="2129" t="s">
        <v>420</v>
      </c>
      <c r="AD39" s="2126" t="s">
        <v>419</v>
      </c>
      <c r="AE39" s="2127"/>
      <c r="AF39" s="2127"/>
      <c r="AG39" s="2127"/>
      <c r="AH39" s="2127"/>
      <c r="AI39" s="2127"/>
      <c r="AJ39" s="2128"/>
      <c r="AK39" s="2129" t="s">
        <v>421</v>
      </c>
      <c r="AL39" s="2132" t="s">
        <v>422</v>
      </c>
      <c r="AM39" s="1971"/>
    </row>
    <row customHeight="1" ht="33.75">
      <c r="Q40" s="377"/>
      <c r="R40" s="377"/>
      <c r="S40" s="2125"/>
      <c r="T40" s="2062"/>
      <c r="U40" s="1038"/>
      <c r="V40" s="2135" t="s">
        <v>423</v>
      </c>
      <c r="W40" s="2116"/>
      <c r="X40" s="2118" t="s">
        <v>425</v>
      </c>
      <c r="Y40" s="2120"/>
      <c r="Z40" s="2118" t="s">
        <v>426</v>
      </c>
      <c r="AA40" s="2119"/>
      <c r="AB40" s="2120"/>
      <c r="AC40" s="2130"/>
      <c r="AD40" s="2135" t="s">
        <v>423</v>
      </c>
      <c r="AE40" s="2116"/>
      <c r="AF40" s="2118" t="s">
        <v>425</v>
      </c>
      <c r="AG40" s="2120"/>
      <c r="AH40" s="2118" t="s">
        <v>426</v>
      </c>
      <c r="AI40" s="2119"/>
      <c r="AJ40" s="2120"/>
      <c r="AK40" s="2130"/>
      <c r="AL40" s="2133"/>
      <c r="AM40" s="1971"/>
    </row>
    <row customHeight="1" ht="33.75">
      <c r="A41" s="1400"/>
      <c r="B41" s="1400" t="s">
        <v>134</v>
      </c>
      <c r="C41" s="1400" t="s">
        <v>135</v>
      </c>
      <c r="D41" s="1400" t="s">
        <v>136</v>
      </c>
      <c r="E41" s="1394" t="s">
        <v>427</v>
      </c>
      <c r="F41" s="1394" t="s">
        <v>428</v>
      </c>
      <c r="G41" s="1394" t="s">
        <v>429</v>
      </c>
      <c r="H41" s="1394" t="s">
        <v>430</v>
      </c>
      <c r="I41" s="1394" t="s">
        <v>431</v>
      </c>
      <c r="J41" s="1394" t="s">
        <v>432</v>
      </c>
      <c r="K41" s="1394" t="s">
        <v>433</v>
      </c>
      <c r="L41" s="1394" t="s">
        <v>408</v>
      </c>
      <c r="Q41" s="377"/>
      <c r="R41" s="377"/>
      <c r="S41" s="2125"/>
      <c r="T41" s="2062"/>
      <c r="U41" s="290"/>
      <c r="V41" s="2136"/>
      <c r="W41" s="2117"/>
      <c r="X41" s="1237" t="s">
        <v>434</v>
      </c>
      <c r="Y41" s="1237" t="s">
        <v>435</v>
      </c>
      <c r="Z41" s="1368" t="s">
        <v>436</v>
      </c>
      <c r="AA41" s="2121" t="s">
        <v>437</v>
      </c>
      <c r="AB41" s="2122"/>
      <c r="AC41" s="2131"/>
      <c r="AD41" s="2136"/>
      <c r="AE41" s="2117"/>
      <c r="AF41" s="1237" t="s">
        <v>434</v>
      </c>
      <c r="AG41" s="1237" t="s">
        <v>435</v>
      </c>
      <c r="AH41" s="1368" t="s">
        <v>436</v>
      </c>
      <c r="AI41" s="2121" t="s">
        <v>437</v>
      </c>
      <c r="AJ41" s="2122"/>
      <c r="AK41" s="2131"/>
      <c r="AL41" s="2134"/>
      <c r="AM41" s="1971"/>
    </row>
    <row s="2611"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108</v>
      </c>
      <c r="T42" s="1281" t="s">
        <v>109</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191</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122</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6"/>
      <c r="AP43" s="506" t="str">
        <f>IF(T43="","",T43)</f>
        <v>Наименование тарифа</v>
      </c>
      <c r="AQ43" s="506"/>
      <c r="AR43" s="506"/>
    </row>
    <row customHeight="1" ht="21">
      <c r="A44" s="1393" t="s">
        <v>191</v>
      </c>
      <c r="B44" s="1393" t="s">
        <v>192</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390</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391</v>
      </c>
      <c r="AO44" s="506"/>
      <c r="AP44" s="506" t="str">
        <f>IF(T44="","",T44)</f>
        <v>Территория действия тарифа</v>
      </c>
      <c r="AQ44" s="506"/>
      <c r="AR44" s="506"/>
    </row>
    <row customHeight="1" ht="23.25">
      <c r="A45" s="1393" t="s">
        <v>191</v>
      </c>
      <c r="B45" s="1393" t="s">
        <v>192</v>
      </c>
      <c r="C45" s="1393" t="s">
        <v>193</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392</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393</v>
      </c>
      <c r="AO45" s="506"/>
      <c r="AP45" s="506" t="str">
        <f>IF(T45="","",T45)</f>
        <v>Наименование системы теплоснабжения </v>
      </c>
      <c r="AQ45" s="506"/>
      <c r="AR45" s="506"/>
    </row>
    <row customHeight="1" ht="21">
      <c r="A46" s="1393" t="s">
        <v>191</v>
      </c>
      <c r="B46" s="1393" t="s">
        <v>192</v>
      </c>
      <c r="C46" s="1393" t="s">
        <v>193</v>
      </c>
      <c r="D46" s="1393" t="s">
        <v>194</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394</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395</v>
      </c>
      <c r="AO46" s="506"/>
      <c r="AP46" s="506" t="str">
        <f>IF(T46="","",T46)</f>
        <v>Источник тепловой энергии  </v>
      </c>
      <c r="AQ46" s="506"/>
      <c r="AR46" s="506"/>
    </row>
    <row s="2612" customFormat="1" customHeight="1" ht="0">
      <c r="A47" s="1373" t="s">
        <v>191</v>
      </c>
      <c r="B47" s="1373" t="s">
        <v>192</v>
      </c>
      <c r="C47" s="1373" t="s">
        <v>193</v>
      </c>
      <c r="D47" s="1373" t="s">
        <v>194</v>
      </c>
      <c r="E47" s="2108"/>
      <c r="F47" s="2108"/>
      <c r="G47" s="2108"/>
      <c r="H47" s="2108"/>
      <c r="I47" s="2109" t="str">
        <f>S46&amp;".1"</f>
        <v>....1</v>
      </c>
      <c r="J47" s="1373"/>
      <c r="K47" s="1373"/>
      <c r="L47" s="1376" t="s">
        <v>396</v>
      </c>
      <c r="M47" s="516"/>
      <c r="N47" s="516"/>
      <c r="O47" s="516"/>
      <c r="P47" s="2111">
        <v>1</v>
      </c>
      <c r="Q47" s="1361"/>
      <c r="R47" s="352"/>
      <c r="S47" s="1049"/>
      <c r="T47" s="1413"/>
      <c r="U47" s="1414"/>
      <c r="V47" s="2147"/>
      <c r="W47" s="2148"/>
      <c r="X47" s="2148"/>
      <c r="Y47" s="2148"/>
      <c r="Z47" s="2148"/>
      <c r="AA47" s="2148"/>
      <c r="AB47" s="2148"/>
      <c r="AC47" s="2149"/>
      <c r="AD47" s="2147"/>
      <c r="AE47" s="2148"/>
      <c r="AF47" s="2148"/>
      <c r="AG47" s="2148"/>
      <c r="AH47" s="2148"/>
      <c r="AI47" s="2148"/>
      <c r="AJ47" s="2148"/>
      <c r="AK47" s="2148"/>
      <c r="AL47" s="2149"/>
      <c r="AM47" s="1415"/>
      <c r="AO47" s="506"/>
      <c r="AP47" s="506" t="str">
        <f>IF(T47="","",T47)</f>
        <v/>
      </c>
      <c r="AQ47" s="506"/>
      <c r="AR47" s="506"/>
    </row>
    <row customHeight="1" ht="21">
      <c r="A48" s="1393" t="s">
        <v>191</v>
      </c>
      <c r="B48" s="1393" t="s">
        <v>192</v>
      </c>
      <c r="C48" s="1393" t="s">
        <v>193</v>
      </c>
      <c r="D48" s="1393" t="s">
        <v>194</v>
      </c>
      <c r="E48" s="2108"/>
      <c r="F48" s="2108"/>
      <c r="G48" s="2108"/>
      <c r="H48" s="2108"/>
      <c r="I48" s="2110"/>
      <c r="J48" s="2109" t="str">
        <f>S46&amp;".1"</f>
        <v>....1</v>
      </c>
      <c r="K48" s="1393"/>
      <c r="L48" s="1394" t="s">
        <v>399</v>
      </c>
      <c r="P48" s="2111"/>
      <c r="Q48" s="2111">
        <v>1</v>
      </c>
      <c r="R48" s="353"/>
      <c r="S48" s="1366" t="str">
        <f>$J48</f>
        <v>....1</v>
      </c>
      <c r="T48" s="274" t="s">
        <v>400</v>
      </c>
      <c r="U48" s="288"/>
      <c r="V48" s="2095"/>
      <c r="W48" s="2096"/>
      <c r="X48" s="2096"/>
      <c r="Y48" s="2096"/>
      <c r="Z48" s="2096"/>
      <c r="AA48" s="2096"/>
      <c r="AB48" s="2096"/>
      <c r="AC48" s="2097"/>
      <c r="AD48" s="2095"/>
      <c r="AE48" s="2096"/>
      <c r="AF48" s="2096"/>
      <c r="AG48" s="2096"/>
      <c r="AH48" s="2096"/>
      <c r="AI48" s="2096"/>
      <c r="AJ48" s="2096"/>
      <c r="AK48" s="2096"/>
      <c r="AL48" s="2097"/>
      <c r="AM48" s="1286" t="s">
        <v>401</v>
      </c>
      <c r="AO48" s="506"/>
      <c r="AP48" s="506" t="str">
        <f>IF(T48="","",T48)</f>
        <v>Группа потребителей</v>
      </c>
      <c r="AQ48" s="506"/>
      <c r="AR48" s="506"/>
    </row>
    <row customHeight="1" ht="21">
      <c r="A49" s="1393" t="s">
        <v>191</v>
      </c>
      <c r="B49" s="1393" t="s">
        <v>192</v>
      </c>
      <c r="C49" s="1393" t="s">
        <v>193</v>
      </c>
      <c r="D49" s="1393" t="s">
        <v>194</v>
      </c>
      <c r="E49" s="2108"/>
      <c r="F49" s="2108"/>
      <c r="G49" s="2108"/>
      <c r="H49" s="2108"/>
      <c r="I49" s="2110"/>
      <c r="J49" s="2110"/>
      <c r="K49" s="2109" t="str">
        <f>J48&amp;".1"</f>
        <v>....1.1</v>
      </c>
      <c r="L49" s="1394" t="s">
        <v>402</v>
      </c>
      <c r="P49" s="2111"/>
      <c r="Q49" s="2111"/>
      <c r="R49" s="353">
        <v>1</v>
      </c>
      <c r="S49" s="1366" t="str">
        <f>$K49</f>
        <v>....1.1</v>
      </c>
      <c r="T49" s="1377"/>
      <c r="U49" s="288"/>
      <c r="V49" s="757"/>
      <c r="W49" s="320"/>
      <c r="X49" s="757"/>
      <c r="Y49" s="1285"/>
      <c r="Z49" s="2112"/>
      <c r="AA49" s="1981" t="s">
        <v>61</v>
      </c>
      <c r="AB49" s="2112"/>
      <c r="AC49" s="1981" t="s">
        <v>61</v>
      </c>
      <c r="AD49" s="757"/>
      <c r="AE49" s="320"/>
      <c r="AF49" s="757"/>
      <c r="AG49" s="1285"/>
      <c r="AH49" s="2112"/>
      <c r="AI49" s="1981" t="s">
        <v>61</v>
      </c>
      <c r="AJ49" s="2114"/>
      <c r="AK49" s="1981" t="s">
        <v>61</v>
      </c>
      <c r="AL49" s="1378"/>
      <c r="AM49" s="2137" t="s">
        <v>445</v>
      </c>
      <c r="AN49" s="517">
        <f>STRCHECKDATE(V50:AL50)</f>
      </c>
      <c r="AO49" s="506"/>
      <c r="AP49" s="506" t="str">
        <f>IF(T49="","",T49)</f>
        <v/>
      </c>
      <c r="AQ49" s="506"/>
      <c r="AR49" s="506"/>
    </row>
    <row customHeight="1" ht="0">
      <c r="A50" s="1393" t="s">
        <v>191</v>
      </c>
      <c r="B50" s="1393" t="s">
        <v>192</v>
      </c>
      <c r="C50" s="1393" t="s">
        <v>193</v>
      </c>
      <c r="D50" s="1393" t="s">
        <v>194</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191</v>
      </c>
      <c r="B51" s="1393" t="s">
        <v>192</v>
      </c>
      <c r="C51" s="1393" t="s">
        <v>193</v>
      </c>
      <c r="D51" s="1393" t="s">
        <v>194</v>
      </c>
      <c r="E51" s="2108"/>
      <c r="F51" s="2108"/>
      <c r="G51" s="2108"/>
      <c r="H51" s="2108"/>
      <c r="I51" s="2110"/>
      <c r="J51" s="2109"/>
      <c r="K51" s="1393"/>
      <c r="L51" s="1394"/>
      <c r="P51" s="2111"/>
      <c r="Q51" s="2111"/>
      <c r="R51" s="352"/>
      <c r="S51" s="1308"/>
      <c r="T51" s="275" t="s">
        <v>404</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191</v>
      </c>
      <c r="B52" s="1393" t="s">
        <v>192</v>
      </c>
      <c r="C52" s="1393" t="s">
        <v>193</v>
      </c>
      <c r="D52" s="1393" t="s">
        <v>194</v>
      </c>
      <c r="E52" s="2108"/>
      <c r="F52" s="2108"/>
      <c r="G52" s="2108"/>
      <c r="H52" s="2108"/>
      <c r="I52" s="2109"/>
      <c r="J52" s="1393"/>
      <c r="K52" s="1393"/>
      <c r="L52" s="1394"/>
      <c r="P52" s="2111"/>
      <c r="Q52" s="1361"/>
      <c r="R52" s="352"/>
      <c r="S52" s="1308"/>
      <c r="T52" s="364" t="s">
        <v>405</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0">
      <c r="A53" s="1393" t="s">
        <v>191</v>
      </c>
      <c r="B53" s="1393" t="s">
        <v>192</v>
      </c>
      <c r="C53" s="1393" t="s">
        <v>193</v>
      </c>
      <c r="D53" s="1393" t="s">
        <v>194</v>
      </c>
      <c r="E53" s="2108"/>
      <c r="F53" s="2108"/>
      <c r="G53" s="2108"/>
      <c r="H53" s="2107"/>
      <c r="I53" s="1393"/>
      <c r="J53" s="1393"/>
      <c r="K53" s="1393"/>
      <c r="L53" s="1394"/>
      <c r="M53" s="1395"/>
      <c r="N53" s="1395"/>
      <c r="O53" s="543"/>
      <c r="P53" s="356"/>
      <c r="Q53" s="376"/>
      <c r="R53" s="351"/>
      <c r="S53" s="1416"/>
      <c r="T53" s="1417"/>
      <c r="U53" s="1418"/>
      <c r="V53" s="1418"/>
      <c r="W53" s="1418"/>
      <c r="X53" s="1418"/>
      <c r="Y53" s="1418"/>
      <c r="Z53" s="1418"/>
      <c r="AA53" s="1418"/>
      <c r="AB53" s="1418"/>
      <c r="AC53" s="1418"/>
      <c r="AD53" s="1418"/>
      <c r="AE53" s="1418"/>
      <c r="AF53" s="1418"/>
      <c r="AG53" s="1418"/>
      <c r="AH53" s="1418"/>
      <c r="AI53" s="1418"/>
      <c r="AJ53" s="1418"/>
      <c r="AK53" s="1418"/>
      <c r="AL53" s="1418"/>
      <c r="AM53" s="1419"/>
      <c r="AO53" s="506"/>
      <c r="AP53" s="506" t="str">
        <f>IF(T53="","",T53)</f>
        <v/>
      </c>
      <c r="AQ53" s="506"/>
      <c r="AR53" s="506"/>
    </row>
    <row s="3274" customFormat="1" customHeight="1" ht="0">
      <c r="A54" s="1373" t="s">
        <v>191</v>
      </c>
      <c r="B54" s="1373" t="s">
        <v>192</v>
      </c>
      <c r="C54" s="1373" t="s">
        <v>193</v>
      </c>
      <c r="D54" s="1344"/>
      <c r="E54" s="2108"/>
      <c r="F54" s="2108"/>
      <c r="G54" s="2107"/>
      <c r="H54" s="1344"/>
      <c r="I54" s="1344"/>
      <c r="J54" s="1344"/>
      <c r="K54" s="1344"/>
      <c r="L54" s="1369"/>
      <c r="M54" s="1345"/>
      <c r="N54" s="1345"/>
      <c r="P54" s="1346"/>
      <c r="Q54" s="1347"/>
      <c r="R54" s="1346"/>
      <c r="S54" s="1352"/>
      <c r="T54" s="1355" t="s">
        <v>167</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274" customFormat="1" customHeight="1" ht="0">
      <c r="A55" s="1373" t="s">
        <v>191</v>
      </c>
      <c r="B55" s="1373" t="s">
        <v>192</v>
      </c>
      <c r="C55" s="1344"/>
      <c r="D55" s="1344"/>
      <c r="E55" s="2108"/>
      <c r="F55" s="2107"/>
      <c r="G55" s="1344"/>
      <c r="H55" s="1344"/>
      <c r="I55" s="1344"/>
      <c r="J55" s="1344"/>
      <c r="K55" s="1344"/>
      <c r="L55" s="1369"/>
      <c r="M55" s="1351"/>
      <c r="N55" s="1351"/>
      <c r="P55" s="1346"/>
      <c r="Q55" s="1347"/>
      <c r="R55" s="1346"/>
      <c r="S55" s="1352"/>
      <c r="T55" s="1355" t="s">
        <v>168</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2" customFormat="1" customHeight="1" ht="0">
      <c r="A56" s="1373" t="s">
        <v>191</v>
      </c>
      <c r="B56" s="1373"/>
      <c r="C56" s="1373"/>
      <c r="D56" s="1373"/>
      <c r="E56" s="2107"/>
      <c r="F56" s="1373"/>
      <c r="G56" s="1373"/>
      <c r="H56" s="1373"/>
      <c r="I56" s="1373"/>
      <c r="J56" s="1373"/>
      <c r="K56" s="1373"/>
      <c r="L56" s="1376"/>
      <c r="M56" s="1351"/>
      <c r="N56" s="1351"/>
      <c r="O56" s="524"/>
      <c r="P56" s="385"/>
      <c r="Q56" s="1374"/>
      <c r="R56" s="385"/>
      <c r="S56" s="1352"/>
      <c r="T56" s="1355" t="s">
        <v>169</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274" customFormat="1" customHeight="1" ht="5.25">
      <c r="A57" s="1344"/>
      <c r="B57" s="1344"/>
      <c r="C57" s="1344"/>
      <c r="D57" s="1344"/>
      <c r="E57" s="1373"/>
      <c r="F57" s="1344"/>
      <c r="G57" s="1344"/>
      <c r="H57" s="1344"/>
      <c r="I57" s="1344"/>
      <c r="J57" s="1344"/>
      <c r="K57" s="1344"/>
      <c r="L57" s="1369"/>
      <c r="M57" s="1351"/>
      <c r="N57" s="1351"/>
      <c r="P57" s="1346"/>
      <c r="Q57" s="1347"/>
      <c r="R57" s="1346"/>
      <c r="S57" s="1352"/>
      <c r="T57" s="1355" t="s">
        <v>170</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14.25">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14.2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14.25">
      <c r="O61" s="543"/>
      <c r="T61" s="2106"/>
      <c r="U61" s="2106"/>
      <c r="V61" s="2106"/>
      <c r="W61" s="2106"/>
      <c r="X61" s="2106"/>
      <c r="Y61" s="2106"/>
      <c r="Z61" s="2106"/>
      <c r="AA61" s="2106"/>
      <c r="AB61" s="2106"/>
      <c r="AC61" s="2106"/>
      <c r="AD61" s="2106"/>
      <c r="AE61" s="2106"/>
      <c r="AF61" s="2106"/>
      <c r="AG61" s="2106"/>
      <c r="AH61" s="2106"/>
      <c r="AI61" s="2106"/>
      <c r="AJ61" s="2106"/>
      <c r="AK61" s="2106"/>
      <c r="AL61" s="2106"/>
      <c r="AM61" s="2106"/>
    </row>
    <row customHeight="1" ht="14.25">
      <c r="O62" s="543"/>
    </row>
    <row customHeight="1" ht="14.25">
      <c r="O63" s="543"/>
      <c r="S63" s="1273"/>
      <c r="T63" s="2150"/>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14.25">
      <c r="O64" s="543"/>
      <c r="T64" s="2106"/>
      <c r="U64" s="2106"/>
      <c r="V64" s="2106"/>
      <c r="W64" s="2106"/>
      <c r="X64" s="2106"/>
      <c r="Y64" s="2106"/>
      <c r="Z64" s="2106"/>
      <c r="AA64" s="2106"/>
      <c r="AB64" s="2106"/>
      <c r="AC64" s="2106"/>
      <c r="AD64" s="2106"/>
      <c r="AE64" s="2106"/>
      <c r="AF64" s="2106"/>
      <c r="AG64" s="2106"/>
      <c r="AH64" s="2106"/>
      <c r="AI64" s="2106"/>
      <c r="AJ64" s="2106"/>
      <c r="AK64" s="2106"/>
      <c r="AL64" s="2106"/>
      <c r="AM64" s="2106"/>
    </row>
    <row customHeight="1" ht="14.25">
      <c r="T65" s="2106"/>
      <c r="U65" s="2106"/>
      <c r="V65" s="2106"/>
      <c r="W65" s="2106"/>
      <c r="X65" s="2106"/>
      <c r="Y65" s="2106"/>
      <c r="Z65" s="2106"/>
      <c r="AA65" s="2106"/>
      <c r="AB65" s="2106"/>
      <c r="AC65" s="2106"/>
      <c r="AD65" s="2106"/>
      <c r="AE65" s="2106"/>
      <c r="AF65" s="2106"/>
      <c r="AG65" s="2106"/>
      <c r="AH65" s="2106"/>
      <c r="AI65" s="2106"/>
      <c r="AJ65" s="2106"/>
      <c r="AK65" s="2106"/>
      <c r="AL65" s="2106"/>
      <c r="AM65" s="2106"/>
    </row>
  </sheetData>
  <sheetProtection formatColumns="0" formatRows="0" autoFilter="0" sort="0" insertRows="0" insertColumns="1" deleteRows="0" deleteColumns="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B73F28-A538-0B68-C3CA-3AA300CC65F2}" mc:Ignorable="x14ac xr xr2 xr3">
  <sheetPr>
    <tabColor theme="6" tint="0.4"/>
  </sheetPr>
  <dimension ref="A1:AV71"/>
  <sheetViews>
    <sheetView topLeftCell="A1" showGridLines="0" zoomScale="90" workbookViewId="0">
      <selection activeCell="A1" sqref="A1"/>
    </sheetView>
  </sheetViews>
  <sheetFormatPr defaultColWidth="10.57421875" customHeight="1" defaultRowHeight="14.25"/>
  <cols>
    <col min="1" max="1" style="2941" width="10.57421875" hidden="1"/>
    <col min="2" max="2" style="2941" width="11.00390625" hidden="1" customWidth="1"/>
    <col min="3" max="3" style="2941" width="10.57421875" hidden="1"/>
    <col min="4" max="4" style="2941" width="11.8515625" hidden="1" customWidth="1"/>
    <col min="5" max="5" style="2941" width="10.00390625" hidden="1" customWidth="1"/>
    <col min="6" max="6" style="2941" width="8.7109375" hidden="1" customWidth="1"/>
    <col min="7" max="7" style="2941" width="7.57421875" hidden="1" customWidth="1"/>
    <col min="8" max="8" style="2941" width="11.421875" hidden="1" customWidth="1"/>
    <col min="9" max="9" style="2941" width="12.00390625" hidden="1" customWidth="1"/>
    <col min="10" max="10" style="2941" width="9.8515625" hidden="1" customWidth="1"/>
    <col min="11" max="12" style="2941" width="11.421875" hidden="1" customWidth="1"/>
    <col min="13" max="13" style="3863" width="19.140625" hidden="1" customWidth="1"/>
    <col min="14" max="15" style="3316" width="12.28125" hidden="1" customWidth="1"/>
    <col min="16" max="16" style="3316" width="23.421875" hidden="1" customWidth="1"/>
    <col min="17" max="17" style="3316" width="3.7109375" hidden="1" customWidth="1"/>
    <col min="18" max="20" style="3372" width="3.7109375" customWidth="1"/>
    <col min="21" max="21" style="3373" width="12.7109375" customWidth="1"/>
    <col min="22" max="22" style="2941" width="32.00390625" customWidth="1"/>
    <col min="23" max="23" style="2941" width="0.140625" customWidth="1"/>
    <col min="24" max="28" style="2941" width="21.7109375" hidden="1" customWidth="1"/>
    <col min="29" max="29" style="2941" width="11.7109375" hidden="1" customWidth="1"/>
    <col min="30" max="30" style="2941" width="3.7109375" hidden="1" customWidth="1"/>
    <col min="31" max="31" style="2941" width="11.7109375" hidden="1" customWidth="1"/>
    <col min="32" max="32" style="2941" width="8.57421875" hidden="1" customWidth="1"/>
    <col min="33" max="37" style="2941" width="21.7109375" customWidth="1"/>
    <col min="38" max="38" style="2941" width="11.7109375" customWidth="1"/>
    <col min="39" max="39" style="2941" width="3.7109375" customWidth="1"/>
    <col min="40" max="40" style="2941" width="11.7109375" customWidth="1"/>
    <col min="41" max="41" style="2941" width="8.57421875" customWidth="1"/>
    <col min="42" max="42" style="2941" width="4.7109375" customWidth="1"/>
    <col min="43" max="43" style="2941" width="115.7109375" customWidth="1"/>
    <col min="44" max="45" style="2612" width="10.57421875"/>
    <col min="46" max="46" style="2612" width="11.140625" customWidth="1"/>
    <col min="47" max="48" style="2612" width="10.57421875"/>
  </cols>
  <sheetData>
    <row customHeight="1" ht="14.25" hidden="1">
      <c r="AB1" s="323"/>
      <c r="AC1" s="323"/>
      <c r="AK1" s="323"/>
      <c r="AL1" s="323"/>
    </row>
    <row customHeight="1" ht="21" hidden="1">
      <c r="A2" s="1296"/>
      <c r="B2" s="1296"/>
      <c r="C2" s="1296"/>
      <c r="D2" s="1296"/>
      <c r="E2" s="2167">
        <v>1</v>
      </c>
      <c r="F2" s="1296"/>
      <c r="G2" s="1296"/>
      <c r="H2" s="1296"/>
      <c r="I2" s="1296"/>
      <c r="J2" s="1296"/>
      <c r="K2" s="1296"/>
      <c r="L2" s="1296"/>
      <c r="M2" s="1340"/>
      <c r="N2" s="694"/>
      <c r="O2" s="694"/>
      <c r="P2" s="694"/>
      <c r="Q2" s="357"/>
      <c r="R2" s="356"/>
      <c r="S2" s="356"/>
      <c r="T2" s="351"/>
      <c r="U2" s="1366">
        <f>INDEX(PT_DIFFERENTIATION_NUM_NTAR,MATCH(A2,PT_DIFFERENTIATION_NTAR_ID,0))</f>
      </c>
      <c r="V2" s="286" t="s">
        <v>122</v>
      </c>
      <c r="W2" s="288"/>
      <c r="X2" s="2101"/>
      <c r="Y2" s="2102"/>
      <c r="Z2" s="2102"/>
      <c r="AA2" s="2102"/>
      <c r="AB2" s="2102"/>
      <c r="AC2" s="2102"/>
      <c r="AD2" s="2102"/>
      <c r="AE2" s="2102"/>
      <c r="AF2" s="2103"/>
      <c r="AG2" s="2101">
        <f>INDEX(PT_DIFFERENTIATION_NTAR,MATCH(A2,PT_DIFFERENTIATION_NTAR_ID,0))</f>
      </c>
      <c r="AH2" s="2102"/>
      <c r="AI2" s="2102"/>
      <c r="AJ2" s="2102"/>
      <c r="AK2" s="2102"/>
      <c r="AL2" s="2102"/>
      <c r="AM2" s="2102"/>
      <c r="AN2" s="2102"/>
      <c r="AO2" s="2102"/>
      <c r="AP2" s="2103"/>
      <c r="AQ2" s="1286" t="s">
        <v>389</v>
      </c>
      <c r="AS2" s="506"/>
      <c r="AT2" s="506" t="str">
        <f>IF(V2="","",V2)</f>
        <v>Наименование тарифа</v>
      </c>
      <c r="AU2" s="506"/>
      <c r="AV2" s="506"/>
    </row>
    <row customHeight="1" ht="21" hidden="1">
      <c r="A3" s="1296"/>
      <c r="B3" s="1296"/>
      <c r="C3" s="1296"/>
      <c r="D3" s="1296"/>
      <c r="E3" s="2168"/>
      <c r="F3" s="2167">
        <v>1</v>
      </c>
      <c r="G3" s="1296"/>
      <c r="H3" s="1296"/>
      <c r="I3" s="1296"/>
      <c r="J3" s="1296"/>
      <c r="K3" s="1296"/>
      <c r="L3" s="1296"/>
      <c r="M3" s="1340"/>
      <c r="N3" s="694"/>
      <c r="O3" s="694"/>
      <c r="P3" s="694"/>
      <c r="Q3" s="1362"/>
      <c r="R3" s="348"/>
      <c r="S3" s="515"/>
      <c r="T3" s="349"/>
      <c r="U3" s="1366">
        <f>INDEX(PT_DIFFERENTIATION_NUM_TER,MATCH(B3,PT_DIFFERENTIATION_TER_ID,0))</f>
      </c>
      <c r="V3" s="298" t="s">
        <v>390</v>
      </c>
      <c r="W3" s="288"/>
      <c r="X3" s="2101"/>
      <c r="Y3" s="2102"/>
      <c r="Z3" s="2102"/>
      <c r="AA3" s="2102"/>
      <c r="AB3" s="2102"/>
      <c r="AC3" s="2102"/>
      <c r="AD3" s="2102"/>
      <c r="AE3" s="2102"/>
      <c r="AF3" s="2103"/>
      <c r="AG3" s="2101">
        <f>INDEX(PT_DIFFERENTIATION_TER,MATCH(B3,PT_DIFFERENTIATION_TER_ID,0))</f>
      </c>
      <c r="AH3" s="2102"/>
      <c r="AI3" s="2102"/>
      <c r="AJ3" s="2102"/>
      <c r="AK3" s="2102"/>
      <c r="AL3" s="2102"/>
      <c r="AM3" s="2102"/>
      <c r="AN3" s="2102"/>
      <c r="AO3" s="2102"/>
      <c r="AP3" s="2103"/>
      <c r="AQ3" s="1286" t="s">
        <v>391</v>
      </c>
      <c r="AS3" s="506"/>
      <c r="AT3" s="506" t="str">
        <f>IF(V3="","",V3)</f>
        <v>Территория действия тарифа</v>
      </c>
      <c r="AU3" s="506"/>
      <c r="AV3" s="506"/>
    </row>
    <row customHeight="1" ht="22.5" hidden="1">
      <c r="A4" s="1296"/>
      <c r="B4" s="1296"/>
      <c r="C4" s="1296"/>
      <c r="D4" s="1296"/>
      <c r="E4" s="2168"/>
      <c r="F4" s="2168"/>
      <c r="G4" s="2167">
        <v>1</v>
      </c>
      <c r="H4" s="1296"/>
      <c r="I4" s="1296"/>
      <c r="J4" s="1296"/>
      <c r="K4" s="1296"/>
      <c r="L4" s="1296"/>
      <c r="M4" s="1340"/>
      <c r="N4" s="694"/>
      <c r="O4" s="694"/>
      <c r="P4" s="694"/>
      <c r="Q4" s="350"/>
      <c r="R4" s="348"/>
      <c r="S4" s="515"/>
      <c r="T4" s="349"/>
      <c r="U4" s="1366">
        <f>INDEX(PT_DIFFERENTIATION_NUM_CS,MATCH(C4,PT_DIFFERENTIATION_CS_ID,0))</f>
      </c>
      <c r="V4" s="299" t="s">
        <v>392</v>
      </c>
      <c r="W4" s="288"/>
      <c r="X4" s="2101"/>
      <c r="Y4" s="2102"/>
      <c r="Z4" s="2102"/>
      <c r="AA4" s="2102"/>
      <c r="AB4" s="2102"/>
      <c r="AC4" s="2102"/>
      <c r="AD4" s="2102"/>
      <c r="AE4" s="2102"/>
      <c r="AF4" s="2103"/>
      <c r="AG4" s="2101">
        <f>INDEX(PT_DIFFERENTIATION_CS,MATCH(C4,PT_DIFFERENTIATION_CS_ID,0))</f>
      </c>
      <c r="AH4" s="2102"/>
      <c r="AI4" s="2102"/>
      <c r="AJ4" s="2102"/>
      <c r="AK4" s="2102"/>
      <c r="AL4" s="2102"/>
      <c r="AM4" s="2102"/>
      <c r="AN4" s="2102"/>
      <c r="AO4" s="2102"/>
      <c r="AP4" s="2103"/>
      <c r="AQ4" s="1286" t="s">
        <v>393</v>
      </c>
      <c r="AS4" s="506"/>
      <c r="AT4" s="506" t="str">
        <f>IF(V4="","",V4)</f>
        <v>Наименование системы теплоснабжения </v>
      </c>
      <c r="AU4" s="506"/>
      <c r="AV4" s="506"/>
    </row>
    <row customHeight="1" ht="21" hidden="1">
      <c r="A5" s="1296"/>
      <c r="B5" s="1296"/>
      <c r="C5" s="1296"/>
      <c r="D5" s="1296"/>
      <c r="E5" s="2168"/>
      <c r="F5" s="2168"/>
      <c r="G5" s="2168"/>
      <c r="H5" s="2167">
        <v>1</v>
      </c>
      <c r="I5" s="1296"/>
      <c r="J5" s="1296"/>
      <c r="K5" s="1296"/>
      <c r="L5" s="1296"/>
      <c r="M5" s="1340"/>
      <c r="N5" s="694"/>
      <c r="O5" s="694"/>
      <c r="P5" s="694"/>
      <c r="Q5" s="350"/>
      <c r="R5" s="348"/>
      <c r="S5" s="515"/>
      <c r="T5" s="349"/>
      <c r="U5" s="1366">
        <f>INDEX(PT_DIFFERENTIATION_NUM_IST_TE,MATCH(D5,PT_DIFFERENTIATION_IST_TE_ID,0))</f>
      </c>
      <c r="V5" s="300" t="s">
        <v>394</v>
      </c>
      <c r="W5" s="288"/>
      <c r="X5" s="2101"/>
      <c r="Y5" s="2102"/>
      <c r="Z5" s="2102"/>
      <c r="AA5" s="2102"/>
      <c r="AB5" s="2102"/>
      <c r="AC5" s="2102"/>
      <c r="AD5" s="2102"/>
      <c r="AE5" s="2102"/>
      <c r="AF5" s="2103"/>
      <c r="AG5" s="2101">
        <f>INDEX(PT_DIFFERENTIATION_IST_TE,MATCH(D5,PT_DIFFERENTIATION_IST_TE_ID,0))</f>
      </c>
      <c r="AH5" s="2102"/>
      <c r="AI5" s="2102"/>
      <c r="AJ5" s="2102"/>
      <c r="AK5" s="2102"/>
      <c r="AL5" s="2102"/>
      <c r="AM5" s="2102"/>
      <c r="AN5" s="2102"/>
      <c r="AO5" s="2102"/>
      <c r="AP5" s="2103"/>
      <c r="AQ5" s="1286" t="s">
        <v>395</v>
      </c>
      <c r="AS5" s="506"/>
      <c r="AT5" s="506" t="str">
        <f>IF(V5="","",V5)</f>
        <v>Источник тепловой энергии  </v>
      </c>
      <c r="AU5" s="506"/>
      <c r="AV5" s="506"/>
    </row>
    <row customHeight="1" ht="14.25" hidden="1">
      <c r="A6" s="1296"/>
      <c r="B6" s="1296"/>
      <c r="C6" s="1296"/>
      <c r="D6" s="1296"/>
      <c r="E6" s="2168"/>
      <c r="F6" s="2168"/>
      <c r="G6" s="2168"/>
      <c r="H6" s="2168"/>
      <c r="I6" s="1971">
        <f>U5&amp;".1"</f>
      </c>
      <c r="J6" s="1296"/>
      <c r="K6" s="1296"/>
      <c r="L6" s="1296"/>
      <c r="M6" s="1340" t="s">
        <v>396</v>
      </c>
      <c r="N6" s="515"/>
      <c r="Q6" s="2111">
        <v>1</v>
      </c>
      <c r="R6" s="1361"/>
      <c r="S6" s="1361"/>
      <c r="T6" s="352"/>
      <c r="U6" s="1049"/>
      <c r="V6" s="1413"/>
      <c r="W6" s="1414"/>
      <c r="X6" s="2147"/>
      <c r="Y6" s="2148"/>
      <c r="Z6" s="2148"/>
      <c r="AA6" s="2148"/>
      <c r="AB6" s="2148"/>
      <c r="AC6" s="2148"/>
      <c r="AD6" s="2148"/>
      <c r="AE6" s="2148"/>
      <c r="AF6" s="2149"/>
      <c r="AG6" s="2147"/>
      <c r="AH6" s="2148"/>
      <c r="AI6" s="2148"/>
      <c r="AJ6" s="2148"/>
      <c r="AK6" s="2148"/>
      <c r="AL6" s="2148"/>
      <c r="AM6" s="2148"/>
      <c r="AN6" s="2148"/>
      <c r="AO6" s="2148"/>
      <c r="AP6" s="2149"/>
      <c r="AQ6" s="1415"/>
      <c r="AS6" s="506"/>
      <c r="AT6" s="506" t="str">
        <f>IF(V6="","",V6)</f>
        <v/>
      </c>
      <c r="AU6" s="506"/>
      <c r="AV6" s="506"/>
    </row>
    <row customHeight="1" ht="21" hidden="1">
      <c r="A7" s="1296"/>
      <c r="B7" s="1296"/>
      <c r="C7" s="1296"/>
      <c r="D7" s="1296"/>
      <c r="E7" s="2168"/>
      <c r="F7" s="2168"/>
      <c r="G7" s="2168"/>
      <c r="H7" s="2168"/>
      <c r="I7" s="1955"/>
      <c r="J7" s="1971">
        <f>I6&amp;".1"</f>
      </c>
      <c r="K7" s="1296"/>
      <c r="L7" s="1296"/>
      <c r="M7" s="1340" t="s">
        <v>399</v>
      </c>
      <c r="N7" s="515"/>
      <c r="O7" s="323"/>
      <c r="Q7" s="2111"/>
      <c r="R7" s="2111">
        <v>1</v>
      </c>
      <c r="S7" s="524"/>
      <c r="T7" s="353"/>
      <c r="U7" s="1366">
        <f>$J7</f>
      </c>
      <c r="V7" s="274" t="s">
        <v>400</v>
      </c>
      <c r="W7" s="288"/>
      <c r="X7" s="2095"/>
      <c r="Y7" s="2096"/>
      <c r="Z7" s="2096"/>
      <c r="AA7" s="2096"/>
      <c r="AB7" s="2096"/>
      <c r="AC7" s="2088"/>
      <c r="AD7" s="2088"/>
      <c r="AE7" s="2088"/>
      <c r="AF7" s="2171"/>
      <c r="AG7" s="2095"/>
      <c r="AH7" s="2096"/>
      <c r="AI7" s="2096"/>
      <c r="AJ7" s="2096"/>
      <c r="AK7" s="2096"/>
      <c r="AL7" s="2096"/>
      <c r="AM7" s="2096"/>
      <c r="AN7" s="2096"/>
      <c r="AO7" s="2096"/>
      <c r="AP7" s="2097"/>
      <c r="AQ7" s="1286" t="s">
        <v>401</v>
      </c>
      <c r="AS7" s="506"/>
      <c r="AT7" s="506" t="str">
        <f>IF(V7="","",V7)</f>
        <v>Группа потребителей</v>
      </c>
      <c r="AU7" s="506"/>
      <c r="AV7" s="506"/>
    </row>
    <row customHeight="1" ht="21" hidden="1">
      <c r="A8" s="1296"/>
      <c r="B8" s="1296"/>
      <c r="C8" s="1296"/>
      <c r="D8" s="1296"/>
      <c r="E8" s="2168"/>
      <c r="F8" s="2168"/>
      <c r="G8" s="2168"/>
      <c r="H8" s="2168"/>
      <c r="I8" s="1955"/>
      <c r="J8" s="1955"/>
      <c r="K8" s="1971">
        <f>J7&amp;".1"</f>
      </c>
      <c r="L8" s="125"/>
      <c r="M8" s="1340" t="s">
        <v>402</v>
      </c>
      <c r="N8" s="515"/>
      <c r="O8" s="323"/>
      <c r="P8" s="323"/>
      <c r="Q8" s="2111"/>
      <c r="R8" s="2111"/>
      <c r="S8" s="2111">
        <v>1</v>
      </c>
      <c r="T8" s="353"/>
      <c r="U8" s="1366">
        <f>$K8</f>
      </c>
      <c r="V8" s="1377"/>
      <c r="W8" s="288"/>
      <c r="X8" s="757"/>
      <c r="Y8" s="757"/>
      <c r="Z8" s="757"/>
      <c r="AA8" s="757"/>
      <c r="AB8" s="1435"/>
      <c r="AC8" s="2112"/>
      <c r="AD8" s="1981" t="s">
        <v>61</v>
      </c>
      <c r="AE8" s="2112"/>
      <c r="AF8" s="1981" t="s">
        <v>61</v>
      </c>
      <c r="AG8" s="1437"/>
      <c r="AH8" s="757"/>
      <c r="AI8" s="757"/>
      <c r="AJ8" s="757"/>
      <c r="AK8" s="1285"/>
      <c r="AL8" s="2112"/>
      <c r="AM8" s="1981" t="s">
        <v>61</v>
      </c>
      <c r="AN8" s="2112"/>
      <c r="AO8" s="1981" t="s">
        <v>61</v>
      </c>
      <c r="AP8" s="320"/>
      <c r="AQ8" s="1337" t="s">
        <v>446</v>
      </c>
      <c r="AR8" s="517">
        <f>STRCHECKDATE(X10:AP10)</f>
      </c>
      <c r="AS8" s="506"/>
      <c r="AT8" s="506" t="str">
        <f>IF(V8="","",V8)</f>
        <v/>
      </c>
      <c r="AU8" s="506"/>
      <c r="AV8" s="506"/>
    </row>
    <row customHeight="1" ht="21" hidden="1">
      <c r="A9" s="1296"/>
      <c r="B9" s="1296"/>
      <c r="C9" s="1296"/>
      <c r="D9" s="1296"/>
      <c r="E9" s="2168"/>
      <c r="F9" s="2168"/>
      <c r="G9" s="2168"/>
      <c r="H9" s="2168"/>
      <c r="I9" s="1955"/>
      <c r="J9" s="1955"/>
      <c r="K9" s="1955"/>
      <c r="L9" s="1971">
        <f>K8&amp;".1"</f>
      </c>
      <c r="M9" s="1340"/>
      <c r="N9" s="515"/>
      <c r="O9" s="323"/>
      <c r="P9" s="323"/>
      <c r="Q9" s="2111"/>
      <c r="R9" s="2111"/>
      <c r="S9" s="2111"/>
      <c r="T9" s="353"/>
      <c r="U9" s="1366">
        <f>$L9</f>
      </c>
      <c r="V9" s="1421"/>
      <c r="W9" s="288"/>
      <c r="X9" s="320"/>
      <c r="Y9" s="757"/>
      <c r="Z9" s="757"/>
      <c r="AA9" s="757"/>
      <c r="AB9" s="1435"/>
      <c r="AC9" s="2152"/>
      <c r="AD9" s="1981"/>
      <c r="AE9" s="2152"/>
      <c r="AF9" s="1981"/>
      <c r="AG9" s="1437"/>
      <c r="AH9" s="757"/>
      <c r="AI9" s="757"/>
      <c r="AJ9" s="757"/>
      <c r="AK9" s="1285"/>
      <c r="AL9" s="2152"/>
      <c r="AM9" s="1981"/>
      <c r="AN9" s="2152"/>
      <c r="AO9" s="1981"/>
      <c r="AP9" s="320"/>
      <c r="AQ9" s="2137" t="s">
        <v>447</v>
      </c>
      <c r="AS9" s="506"/>
      <c r="AT9" s="506"/>
      <c r="AU9" s="506"/>
      <c r="AV9" s="506"/>
    </row>
    <row customHeight="1" ht="14.25" hidden="1">
      <c r="A10" s="1296"/>
      <c r="B10" s="1296"/>
      <c r="C10" s="1296"/>
      <c r="D10" s="1296"/>
      <c r="E10" s="2168"/>
      <c r="F10" s="2168"/>
      <c r="G10" s="2168"/>
      <c r="H10" s="2168"/>
      <c r="I10" s="1955"/>
      <c r="J10" s="1955"/>
      <c r="K10" s="1955"/>
      <c r="L10" s="1971"/>
      <c r="M10" s="1340"/>
      <c r="N10" s="515"/>
      <c r="O10" s="323"/>
      <c r="P10" s="323"/>
      <c r="Q10" s="2111"/>
      <c r="R10" s="2111"/>
      <c r="S10" s="2111"/>
      <c r="T10" s="353"/>
      <c r="U10" s="1372"/>
      <c r="V10" s="288"/>
      <c r="W10" s="288"/>
      <c r="X10" s="320"/>
      <c r="Y10" s="320"/>
      <c r="Z10" s="320"/>
      <c r="AA10" s="320"/>
      <c r="AB10" s="1436" t="str">
        <f>AC8&amp;"-"&amp;AE8</f>
        <v>-</v>
      </c>
      <c r="AC10" s="2152"/>
      <c r="AD10" s="1981"/>
      <c r="AE10" s="2152"/>
      <c r="AF10" s="1981"/>
      <c r="AG10" s="1412"/>
      <c r="AH10" s="320"/>
      <c r="AI10" s="320"/>
      <c r="AJ10" s="320"/>
      <c r="AK10" s="324" t="str">
        <f>AL8&amp;"-"&amp;AN8</f>
        <v>-</v>
      </c>
      <c r="AL10" s="2152"/>
      <c r="AM10" s="1981"/>
      <c r="AN10" s="2152"/>
      <c r="AO10" s="1981"/>
      <c r="AP10" s="320"/>
      <c r="AQ10" s="2138"/>
      <c r="AS10" s="506"/>
      <c r="AT10" s="506" t="str">
        <f>IF(V10="","",V10)</f>
        <v/>
      </c>
      <c r="AU10" s="506"/>
      <c r="AV10" s="506"/>
    </row>
    <row customHeight="1" ht="11.25" hidden="1">
      <c r="A11" s="1296"/>
      <c r="B11" s="1296"/>
      <c r="C11" s="1296"/>
      <c r="D11" s="1296"/>
      <c r="E11" s="2168"/>
      <c r="F11" s="2168"/>
      <c r="G11" s="2168"/>
      <c r="H11" s="2168"/>
      <c r="I11" s="1955"/>
      <c r="J11" s="1955"/>
      <c r="K11" s="1971"/>
      <c r="L11" s="1296"/>
      <c r="M11" s="1340"/>
      <c r="N11" s="515"/>
      <c r="O11" s="323"/>
      <c r="P11" s="323"/>
      <c r="Q11" s="2111"/>
      <c r="R11" s="2111"/>
      <c r="S11" s="2111"/>
      <c r="T11" s="353"/>
      <c r="U11" s="1308"/>
      <c r="V11" s="276" t="s">
        <v>448</v>
      </c>
      <c r="W11" s="1422"/>
      <c r="X11" s="1423"/>
      <c r="Y11" s="1423"/>
      <c r="Z11" s="1423"/>
      <c r="AA11" s="1423"/>
      <c r="AB11" s="1424"/>
      <c r="AC11" s="2152"/>
      <c r="AD11" s="1981"/>
      <c r="AE11" s="2152"/>
      <c r="AF11" s="1981"/>
      <c r="AG11" s="1423"/>
      <c r="AH11" s="1423"/>
      <c r="AI11" s="1423"/>
      <c r="AJ11" s="1423"/>
      <c r="AK11" s="1424"/>
      <c r="AL11" s="2152"/>
      <c r="AM11" s="1981"/>
      <c r="AN11" s="2152"/>
      <c r="AO11" s="1981"/>
      <c r="AP11" s="1425"/>
      <c r="AQ11" s="2138"/>
      <c r="AS11" s="506"/>
      <c r="AT11" s="506"/>
      <c r="AU11" s="506"/>
      <c r="AV11" s="506"/>
    </row>
    <row customHeight="1" ht="15" hidden="1">
      <c r="A12" s="1296"/>
      <c r="B12" s="1296"/>
      <c r="C12" s="1296"/>
      <c r="D12" s="1296"/>
      <c r="E12" s="2168"/>
      <c r="F12" s="2168"/>
      <c r="G12" s="2168"/>
      <c r="H12" s="2168"/>
      <c r="I12" s="1955"/>
      <c r="J12" s="1971"/>
      <c r="K12" s="1296"/>
      <c r="L12" s="1296"/>
      <c r="M12" s="1340"/>
      <c r="N12" s="515"/>
      <c r="O12" s="323"/>
      <c r="Q12" s="2111"/>
      <c r="R12" s="2111"/>
      <c r="S12" s="1361"/>
      <c r="T12" s="352"/>
      <c r="U12" s="1308"/>
      <c r="V12" s="275" t="s">
        <v>404</v>
      </c>
      <c r="W12" s="367"/>
      <c r="X12" s="367"/>
      <c r="Y12" s="367"/>
      <c r="Z12" s="367"/>
      <c r="AA12" s="367"/>
      <c r="AB12" s="367"/>
      <c r="AC12" s="1438"/>
      <c r="AD12" s="1438"/>
      <c r="AE12" s="1438"/>
      <c r="AF12" s="1438"/>
      <c r="AG12" s="367"/>
      <c r="AH12" s="367"/>
      <c r="AI12" s="367"/>
      <c r="AJ12" s="367"/>
      <c r="AK12" s="367"/>
      <c r="AL12" s="367"/>
      <c r="AM12" s="367"/>
      <c r="AN12" s="367"/>
      <c r="AO12" s="367"/>
      <c r="AP12" s="319"/>
      <c r="AQ12" s="2139"/>
      <c r="AS12" s="506"/>
      <c r="AT12" s="506" t="str">
        <f>IF(V12="","",V12)</f>
        <v>Добавить вид теплоносителя (параметры теплоносителя)</v>
      </c>
      <c r="AU12" s="506"/>
      <c r="AV12" s="506"/>
    </row>
    <row customHeight="1" ht="11.25" hidden="1">
      <c r="A13" s="1296"/>
      <c r="B13" s="1296"/>
      <c r="C13" s="1296"/>
      <c r="D13" s="1296"/>
      <c r="E13" s="2168"/>
      <c r="F13" s="2168"/>
      <c r="G13" s="2168"/>
      <c r="H13" s="2168"/>
      <c r="I13" s="1971"/>
      <c r="J13" s="1296"/>
      <c r="K13" s="1296"/>
      <c r="L13" s="1296"/>
      <c r="M13" s="1340"/>
      <c r="N13" s="515"/>
      <c r="Q13" s="2111"/>
      <c r="R13" s="1361"/>
      <c r="S13" s="1361"/>
      <c r="T13" s="352"/>
      <c r="U13" s="1308"/>
      <c r="V13" s="364" t="s">
        <v>405</v>
      </c>
      <c r="W13" s="367"/>
      <c r="X13" s="367"/>
      <c r="Y13" s="367"/>
      <c r="Z13" s="367"/>
      <c r="AA13" s="367"/>
      <c r="AB13" s="367"/>
      <c r="AC13" s="367"/>
      <c r="AD13" s="367"/>
      <c r="AE13" s="367"/>
      <c r="AF13" s="366"/>
      <c r="AG13" s="367"/>
      <c r="AH13" s="367"/>
      <c r="AI13" s="367"/>
      <c r="AJ13" s="367"/>
      <c r="AK13" s="367"/>
      <c r="AL13" s="367"/>
      <c r="AM13" s="367"/>
      <c r="AN13" s="367"/>
      <c r="AO13" s="366"/>
      <c r="AP13" s="367"/>
      <c r="AQ13" s="291"/>
      <c r="AS13" s="506"/>
      <c r="AT13" s="506" t="str">
        <f>IF(V13="","",V13)</f>
        <v>Добавить группу потребителей</v>
      </c>
      <c r="AU13" s="506"/>
      <c r="AV13" s="506"/>
    </row>
    <row customHeight="1" ht="14.25" hidden="1">
      <c r="A14" s="1296"/>
      <c r="B14" s="1296"/>
      <c r="C14" s="1296"/>
      <c r="D14" s="1296"/>
      <c r="E14" s="2168"/>
      <c r="F14" s="2168"/>
      <c r="G14" s="2168"/>
      <c r="H14" s="2167"/>
      <c r="I14" s="1296"/>
      <c r="J14" s="1296"/>
      <c r="K14" s="1296"/>
      <c r="L14" s="1296"/>
      <c r="M14" s="1340"/>
      <c r="N14" s="694"/>
      <c r="O14" s="694"/>
      <c r="P14" s="515"/>
      <c r="Q14" s="356"/>
      <c r="R14" s="376"/>
      <c r="S14" s="351"/>
      <c r="T14" s="356"/>
      <c r="U14" s="1416"/>
      <c r="V14" s="1417"/>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9"/>
      <c r="AS14" s="506"/>
      <c r="AT14" s="506" t="str">
        <f>IF(V14="","",V14)</f>
        <v/>
      </c>
      <c r="AU14" s="506"/>
      <c r="AV14" s="506"/>
    </row>
    <row s="3274" customFormat="1" customHeight="1" ht="14.25" hidden="1">
      <c r="A15" s="1404"/>
      <c r="B15" s="1404"/>
      <c r="C15" s="1404"/>
      <c r="D15" s="1404"/>
      <c r="E15" s="2168"/>
      <c r="F15" s="2168"/>
      <c r="G15" s="2167"/>
      <c r="H15" s="1404"/>
      <c r="I15" s="1404"/>
      <c r="J15" s="1404"/>
      <c r="K15" s="1404"/>
      <c r="L15" s="1404"/>
      <c r="M15" s="1407"/>
      <c r="N15" s="1408"/>
      <c r="O15" s="1408"/>
      <c r="P15" s="347"/>
      <c r="Q15" s="1346"/>
      <c r="R15" s="1347"/>
      <c r="S15" s="1346"/>
      <c r="T15" s="1346"/>
      <c r="U15" s="1348"/>
      <c r="V15" s="1349" t="s">
        <v>167</v>
      </c>
      <c r="W15" s="1350"/>
      <c r="X15" s="1350"/>
      <c r="Y15" s="1350"/>
      <c r="Z15" s="1350"/>
      <c r="AA15" s="1350"/>
      <c r="AB15" s="1350"/>
      <c r="AC15" s="1350"/>
      <c r="AD15" s="1350"/>
      <c r="AE15" s="1350"/>
      <c r="AF15" s="1350"/>
      <c r="AG15" s="1350"/>
      <c r="AH15" s="1350"/>
      <c r="AI15" s="1350"/>
      <c r="AJ15" s="1350"/>
      <c r="AK15" s="1350"/>
      <c r="AL15" s="1350"/>
      <c r="AM15" s="1350"/>
      <c r="AN15" s="1350"/>
      <c r="AO15" s="1350"/>
      <c r="AP15" s="1350"/>
      <c r="AQ15" s="1350"/>
      <c r="AS15" s="795"/>
      <c r="AT15" s="795" t="str">
        <f>IF(V15="","",V15)</f>
        <v>Добавить источник для дифференциации</v>
      </c>
      <c r="AU15" s="795"/>
      <c r="AV15" s="795"/>
    </row>
    <row s="3274" customFormat="1" customHeight="1" ht="14.25" hidden="1">
      <c r="A16" s="1404"/>
      <c r="B16" s="1404"/>
      <c r="C16" s="1404"/>
      <c r="D16" s="1404"/>
      <c r="E16" s="2168"/>
      <c r="F16" s="2167"/>
      <c r="G16" s="1404"/>
      <c r="H16" s="1404"/>
      <c r="I16" s="1404"/>
      <c r="J16" s="1404"/>
      <c r="K16" s="1404"/>
      <c r="L16" s="1404"/>
      <c r="M16" s="1407"/>
      <c r="N16" s="1409"/>
      <c r="O16" s="1409"/>
      <c r="P16" s="347"/>
      <c r="Q16" s="1346"/>
      <c r="R16" s="1347"/>
      <c r="S16" s="1346"/>
      <c r="T16" s="1346"/>
      <c r="U16" s="1352"/>
      <c r="V16" s="1353" t="s">
        <v>168</v>
      </c>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S16" s="795"/>
      <c r="AT16" s="795" t="str">
        <f>IF(V16="","",V16)</f>
        <v>Добавить централизованную систему для дифференциации</v>
      </c>
      <c r="AU16" s="795"/>
      <c r="AV16" s="795"/>
    </row>
    <row s="3274" customFormat="1" customHeight="1" ht="14.25" hidden="1">
      <c r="A17" s="1404"/>
      <c r="B17" s="1404"/>
      <c r="C17" s="1404"/>
      <c r="D17" s="1404"/>
      <c r="E17" s="2167"/>
      <c r="F17" s="1404"/>
      <c r="G17" s="1404"/>
      <c r="H17" s="1404"/>
      <c r="I17" s="1404"/>
      <c r="J17" s="1404"/>
      <c r="K17" s="1404"/>
      <c r="L17" s="1404"/>
      <c r="M17" s="1407"/>
      <c r="N17" s="1409"/>
      <c r="O17" s="1409"/>
      <c r="P17" s="347"/>
      <c r="Q17" s="1346"/>
      <c r="R17" s="1347"/>
      <c r="S17" s="1346"/>
      <c r="T17" s="1346"/>
      <c r="U17" s="1352"/>
      <c r="V17" s="1355" t="s">
        <v>169</v>
      </c>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S17" s="795"/>
      <c r="AT17" s="795" t="str">
        <f>IF(V17="","",V17)</f>
        <v>Добавить территорию для дифференциации</v>
      </c>
      <c r="AU17" s="795"/>
      <c r="AV17" s="795"/>
    </row>
    <row customHeight="1" ht="14.25" hidden="1">
      <c r="AF18" s="323"/>
      <c r="AO18" s="323"/>
    </row>
    <row customHeight="1" ht="14.25" hidden="1">
      <c r="AG19" s="1390"/>
      <c r="AH19" s="1390"/>
      <c r="AI19" s="1390"/>
      <c r="AJ19" s="1390"/>
      <c r="AK19" s="1391"/>
      <c r="AL19" s="2105"/>
      <c r="AM19" s="2104" t="s">
        <v>61</v>
      </c>
      <c r="AN19" s="2105"/>
      <c r="AO19" s="2104" t="s">
        <v>61</v>
      </c>
    </row>
    <row customHeight="1" ht="14.25" hidden="1">
      <c r="AG20" s="1390"/>
      <c r="AH20" s="1390"/>
      <c r="AI20" s="1390"/>
      <c r="AJ20" s="1390"/>
      <c r="AK20" s="1391"/>
      <c r="AL20" s="2105"/>
      <c r="AM20" s="2104"/>
      <c r="AN20" s="2105"/>
      <c r="AO20" s="2104"/>
    </row>
    <row customHeight="1" ht="14.25" hidden="1">
      <c r="AG21" s="1390"/>
      <c r="AH21" s="1390"/>
      <c r="AI21" s="1390"/>
      <c r="AJ21" s="1390"/>
      <c r="AK21" s="1391"/>
      <c r="AL21" s="2105"/>
      <c r="AM21" s="2104"/>
      <c r="AN21" s="2105"/>
      <c r="AO21" s="2104"/>
    </row>
    <row customHeight="1" ht="14.25" hidden="1">
      <c r="AG22" s="1390"/>
      <c r="AH22" s="1390"/>
      <c r="AI22" s="1390"/>
      <c r="AJ22" s="1390"/>
      <c r="AK22" s="324" t="str">
        <f>AL19&amp;"-"&amp;AN19</f>
        <v>-</v>
      </c>
      <c r="AL22" s="2104"/>
      <c r="AM22" s="2104"/>
      <c r="AN22" s="2104"/>
      <c r="AO22" s="2104"/>
    </row>
    <row customHeight="1" ht="14.25" hidden="1">
      <c r="AO23" s="323"/>
    </row>
    <row s="3293" customFormat="1" customHeight="1" ht="22.5" hidden="1">
      <c r="A24" s="1163"/>
      <c r="B24" s="1163"/>
      <c r="C24" s="1163"/>
      <c r="D24" s="1163"/>
      <c r="E24" s="1163"/>
      <c r="F24" s="1163"/>
      <c r="G24" s="1163"/>
      <c r="H24" s="1163"/>
      <c r="I24" s="1163"/>
      <c r="J24" s="1163"/>
      <c r="K24" s="1163"/>
      <c r="L24" s="1163"/>
      <c r="M24" s="1357"/>
      <c r="N24" s="1358"/>
      <c r="O24" s="1358"/>
      <c r="P24" s="1375" t="s">
        <v>407</v>
      </c>
      <c r="Q24" s="1392"/>
      <c r="R24" s="1401"/>
      <c r="S24" s="1401"/>
      <c r="T24" s="1401"/>
      <c r="U24" s="735"/>
      <c r="AC24" s="1397"/>
      <c r="AE24" s="1397"/>
      <c r="AF24" s="1396"/>
      <c r="AL24" s="1397"/>
      <c r="AN24" s="1397"/>
      <c r="AO24" s="1396"/>
      <c r="AR24" s="517"/>
      <c r="AS24" s="517"/>
      <c r="AT24" s="517"/>
      <c r="AU24" s="517"/>
      <c r="AV24" s="517"/>
    </row>
    <row s="3293" customFormat="1" customHeight="1" ht="14.25" hidden="1">
      <c r="A25" s="1163"/>
      <c r="B25" s="1163"/>
      <c r="C25" s="1163"/>
      <c r="D25" s="1163"/>
      <c r="E25" s="1163"/>
      <c r="F25" s="1163"/>
      <c r="G25" s="1163"/>
      <c r="H25" s="1163"/>
      <c r="I25" s="1163"/>
      <c r="J25" s="1163"/>
      <c r="K25" s="1163"/>
      <c r="L25" s="1163"/>
      <c r="M25" s="1357"/>
      <c r="N25" s="1358"/>
      <c r="O25" s="1358"/>
      <c r="P25" s="1358"/>
      <c r="Q25" s="1392"/>
      <c r="R25" s="1401"/>
      <c r="S25" s="1401"/>
      <c r="T25" s="1401"/>
      <c r="U25" s="735"/>
      <c r="AF25" s="1396"/>
      <c r="AO25" s="1396"/>
      <c r="AR25" s="517"/>
      <c r="AS25" s="517"/>
      <c r="AT25" s="517"/>
      <c r="AU25" s="517"/>
      <c r="AV25" s="517"/>
    </row>
    <row s="3293" customFormat="1" customHeight="1" ht="14.25" hidden="1">
      <c r="A26" s="1163"/>
      <c r="B26" s="1163"/>
      <c r="C26" s="1163"/>
      <c r="D26" s="1163"/>
      <c r="E26" s="1163"/>
      <c r="F26" s="1163"/>
      <c r="G26" s="1163"/>
      <c r="H26" s="1163"/>
      <c r="I26" s="1163"/>
      <c r="J26" s="1163"/>
      <c r="K26" s="1163"/>
      <c r="L26" s="1163"/>
      <c r="M26" s="1357"/>
      <c r="N26" s="1358"/>
      <c r="O26" s="1358"/>
      <c r="P26" s="1340" t="s">
        <v>408</v>
      </c>
      <c r="Q26" s="1392"/>
      <c r="R26" s="1401"/>
      <c r="S26" s="1401"/>
      <c r="T26" s="1401"/>
      <c r="U26" s="735"/>
      <c r="V26" s="1168" t="s">
        <v>409</v>
      </c>
      <c r="AD26" s="172" t="s">
        <v>410</v>
      </c>
      <c r="AF26" s="172" t="s">
        <v>411</v>
      </c>
      <c r="AG26" s="1168" t="s">
        <v>409</v>
      </c>
      <c r="AM26" s="172" t="s">
        <v>412</v>
      </c>
      <c r="AO26" s="172" t="s">
        <v>411</v>
      </c>
      <c r="AR26" s="517"/>
      <c r="AS26" s="517"/>
      <c r="AT26" s="517"/>
      <c r="AU26" s="517"/>
      <c r="AV26" s="517"/>
    </row>
    <row customHeight="1" ht="14.25" hidden="1">
      <c r="P27" s="1340"/>
    </row>
    <row customHeight="1" ht="14.25" hidden="1">
      <c r="P28" s="1340"/>
    </row>
    <row customHeight="1" ht="14.25">
      <c r="R29" s="377"/>
      <c r="S29" s="377"/>
      <c r="T29" s="377"/>
      <c r="U29" s="1305"/>
      <c r="V29" s="361"/>
      <c r="W29" s="361"/>
      <c r="X29" s="515"/>
      <c r="Y29" s="515"/>
      <c r="Z29" s="515"/>
      <c r="AA29" s="515"/>
      <c r="AB29" s="515"/>
      <c r="AC29" s="515"/>
      <c r="AD29" s="515"/>
      <c r="AE29" s="515"/>
      <c r="AF29" s="515"/>
      <c r="AG29" s="515"/>
      <c r="AH29" s="515"/>
      <c r="AI29" s="515"/>
      <c r="AJ29" s="515"/>
      <c r="AK29" s="515"/>
      <c r="AL29" s="515"/>
      <c r="AM29" s="515"/>
      <c r="AN29" s="515"/>
      <c r="AO29" s="515"/>
    </row>
    <row customHeight="1" ht="54">
      <c r="R30" s="377"/>
      <c r="S30" s="377"/>
      <c r="T30" s="377"/>
      <c r="U30" s="2140"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40"/>
      <c r="W30" s="2140"/>
      <c r="X30" s="2140"/>
      <c r="Y30" s="2140"/>
      <c r="Z30" s="2140"/>
      <c r="AA30" s="2140"/>
      <c r="AB30" s="2140"/>
      <c r="AC30" s="2140"/>
      <c r="AD30" s="2140"/>
      <c r="AE30" s="2140"/>
      <c r="AF30" s="2140"/>
      <c r="AG30" s="2140"/>
      <c r="AH30" s="2140"/>
      <c r="AI30" s="2140"/>
      <c r="AJ30" s="2140"/>
      <c r="AK30" s="2140"/>
      <c r="AL30" s="2140"/>
      <c r="AM30" s="2140"/>
      <c r="AN30" s="2140"/>
      <c r="AO30" s="1261"/>
    </row>
    <row customHeight="1" ht="14.25">
      <c r="R31" s="377"/>
      <c r="S31" s="377"/>
      <c r="T31" s="377"/>
      <c r="U31" s="2141" t="str">
        <f>IF(org=0,"Не определено",org)</f>
        <v>МУП г. Азова "Теплоэнерго"</v>
      </c>
      <c r="V31" s="2141"/>
      <c r="W31" s="2141"/>
      <c r="X31" s="2141"/>
      <c r="Y31" s="2141"/>
      <c r="Z31" s="2141"/>
      <c r="AA31" s="2141"/>
      <c r="AB31" s="2141"/>
      <c r="AC31" s="2141"/>
      <c r="AD31" s="2141"/>
      <c r="AE31" s="2141"/>
      <c r="AF31" s="2141"/>
      <c r="AG31" s="2141"/>
      <c r="AH31" s="2141"/>
      <c r="AI31" s="2141"/>
      <c r="AJ31" s="2141"/>
      <c r="AK31" s="2141"/>
      <c r="AL31" s="2141"/>
      <c r="AM31" s="2141"/>
      <c r="AN31" s="2141"/>
      <c r="AO31" s="1261"/>
    </row>
    <row customHeight="1" ht="14.25">
      <c r="R32" s="377"/>
      <c r="S32" s="377"/>
      <c r="T32" s="377"/>
      <c r="U32" s="1305"/>
      <c r="V32" s="361"/>
      <c r="W32" s="361"/>
      <c r="X32" s="316"/>
      <c r="Y32" s="316"/>
      <c r="Z32" s="316"/>
      <c r="AA32" s="316"/>
      <c r="AB32" s="316"/>
      <c r="AC32" s="316"/>
      <c r="AD32" s="316"/>
      <c r="AE32" s="316"/>
      <c r="AF32" s="316"/>
      <c r="AG32" s="316"/>
      <c r="AH32" s="316"/>
      <c r="AI32" s="316"/>
      <c r="AJ32" s="316"/>
      <c r="AK32" s="316"/>
      <c r="AL32" s="316"/>
      <c r="AM32" s="316"/>
      <c r="AN32" s="316"/>
      <c r="AO32" s="316"/>
      <c r="AP32" s="515"/>
    </row>
    <row s="3306" customFormat="1" customHeight="1" ht="25.5">
      <c r="A33" s="1267"/>
      <c r="B33" s="1267"/>
      <c r="C33" s="1267"/>
      <c r="D33" s="1267"/>
      <c r="E33" s="1267"/>
      <c r="F33" s="1267"/>
      <c r="G33" s="1267"/>
      <c r="H33" s="1267"/>
      <c r="I33" s="1267"/>
      <c r="J33" s="1267"/>
      <c r="K33" s="1267"/>
      <c r="L33" s="1267"/>
      <c r="M33" s="1410"/>
      <c r="N33" s="1267"/>
      <c r="O33" s="1267"/>
      <c r="P33" s="1267"/>
      <c r="U33" s="2098" t="s">
        <v>38</v>
      </c>
      <c r="V33" s="2098"/>
      <c r="W33" s="1402"/>
      <c r="X33" s="2100" t="str">
        <f>IF(TITLE_NAME_OR_PR_CHANGE="",IF(TITLE_NAME_OR_PR="","",TITLE_NAME_OR_PR),TITLE_NAME_OR_PR_CHANGE)</f>
        <v>Региональная служба по тарифам Ростовской области</v>
      </c>
      <c r="Y33" s="2100"/>
      <c r="Z33" s="2100"/>
      <c r="AA33" s="2100"/>
      <c r="AB33" s="2100"/>
      <c r="AC33" s="2100"/>
      <c r="AD33" s="2100"/>
      <c r="AE33" s="2100"/>
      <c r="AF33" s="322"/>
      <c r="AG33" s="2100" t="str">
        <f>IF(TITLE_NAME_OR_PR_CHANGE="",IF(TITLE_NAME_OR_PR="","",TITLE_NAME_OR_PR),TITLE_NAME_OR_PR_CHANGE)</f>
        <v>Региональная служба по тарифам Ростовской области</v>
      </c>
      <c r="AH33" s="2100"/>
      <c r="AI33" s="2100"/>
      <c r="AJ33" s="2100"/>
      <c r="AK33" s="2100"/>
      <c r="AL33" s="2100"/>
      <c r="AM33" s="2100"/>
      <c r="AN33" s="2100"/>
      <c r="AO33" s="322"/>
      <c r="AP33" s="322"/>
      <c r="AQ33" s="268"/>
      <c r="AR33" s="368"/>
      <c r="AS33" s="368"/>
      <c r="AT33" s="368"/>
      <c r="AU33" s="368"/>
      <c r="AV33" s="368"/>
    </row>
    <row s="3306" customFormat="1" customHeight="1" ht="18.75">
      <c r="A34" s="1267"/>
      <c r="B34" s="1267"/>
      <c r="C34" s="1267"/>
      <c r="D34" s="1267"/>
      <c r="E34" s="1267"/>
      <c r="F34" s="1267"/>
      <c r="G34" s="1267"/>
      <c r="H34" s="1267"/>
      <c r="I34" s="1267"/>
      <c r="J34" s="1267"/>
      <c r="K34" s="1267"/>
      <c r="L34" s="1267"/>
      <c r="M34" s="1410"/>
      <c r="N34" s="1267"/>
      <c r="O34" s="1267"/>
      <c r="P34" s="1267"/>
      <c r="U34" s="2098" t="s">
        <v>413</v>
      </c>
      <c r="V34" s="2098"/>
      <c r="W34" s="1402"/>
      <c r="X34" s="2099" t="str">
        <f>IF(TITLE_DATE_PR_CHANGE="",IF(TITLE_DATE_PR="","",TITLE_DATE_PR),TITLE_DATE_PR_CHANGE)</f>
        <v>45245.61800925926</v>
      </c>
      <c r="Y34" s="2099"/>
      <c r="Z34" s="2099"/>
      <c r="AA34" s="2099"/>
      <c r="AB34" s="2099"/>
      <c r="AC34" s="2099"/>
      <c r="AD34" s="2099"/>
      <c r="AE34" s="2099"/>
      <c r="AF34" s="322"/>
      <c r="AG34" s="2099" t="str">
        <f>IF(TITLE_DATE_PR_CHANGE="",IF(TITLE_DATE_PR="","",TITLE_DATE_PR),TITLE_DATE_PR_CHANGE)</f>
        <v>45245.61800925926</v>
      </c>
      <c r="AH34" s="2099"/>
      <c r="AI34" s="2099"/>
      <c r="AJ34" s="2099"/>
      <c r="AK34" s="2099"/>
      <c r="AL34" s="2099"/>
      <c r="AM34" s="2099"/>
      <c r="AN34" s="2099"/>
      <c r="AO34" s="322"/>
      <c r="AP34" s="322"/>
      <c r="AQ34" s="268"/>
      <c r="AR34" s="368"/>
      <c r="AS34" s="368"/>
      <c r="AT34" s="368"/>
      <c r="AU34" s="368"/>
      <c r="AV34" s="368"/>
    </row>
    <row s="3306" customFormat="1" customHeight="1" ht="18.75">
      <c r="A35" s="1267"/>
      <c r="B35" s="1267"/>
      <c r="C35" s="1267"/>
      <c r="D35" s="1267"/>
      <c r="E35" s="1267"/>
      <c r="F35" s="1267"/>
      <c r="G35" s="1267"/>
      <c r="H35" s="1267"/>
      <c r="I35" s="1267"/>
      <c r="J35" s="1267"/>
      <c r="K35" s="1267"/>
      <c r="L35" s="1267"/>
      <c r="M35" s="1410"/>
      <c r="N35" s="1267"/>
      <c r="O35" s="1267"/>
      <c r="P35" s="1267"/>
      <c r="U35" s="2098" t="s">
        <v>414</v>
      </c>
      <c r="V35" s="2098"/>
      <c r="W35" s="1402"/>
      <c r="X35" s="2100" t="str">
        <f>IF(TITLE_NUMBER_PR_CHANGE="",IF(TITLE_NUMBER_PR="","",TITLE_NUMBER_PR),TITLE_NUMBER_PR_CHANGE)</f>
        <v>550</v>
      </c>
      <c r="Y35" s="2100"/>
      <c r="Z35" s="2100"/>
      <c r="AA35" s="2100"/>
      <c r="AB35" s="2100"/>
      <c r="AC35" s="2100"/>
      <c r="AD35" s="2100"/>
      <c r="AE35" s="2100"/>
      <c r="AF35" s="322"/>
      <c r="AG35" s="2100" t="str">
        <f>IF(TITLE_NUMBER_PR_CHANGE="",IF(TITLE_NUMBER_PR="","",TITLE_NUMBER_PR),TITLE_NUMBER_PR_CHANGE)</f>
        <v>550</v>
      </c>
      <c r="AH35" s="2100"/>
      <c r="AI35" s="2100"/>
      <c r="AJ35" s="2100"/>
      <c r="AK35" s="2100"/>
      <c r="AL35" s="2100"/>
      <c r="AM35" s="2100"/>
      <c r="AN35" s="2100"/>
      <c r="AO35" s="322"/>
      <c r="AP35" s="322"/>
      <c r="AQ35" s="268"/>
      <c r="AR35" s="368"/>
      <c r="AS35" s="368"/>
      <c r="AT35" s="368"/>
      <c r="AU35" s="368"/>
      <c r="AV35" s="368"/>
    </row>
    <row s="3306" customFormat="1" customHeight="1" ht="18.75">
      <c r="A36" s="1267"/>
      <c r="B36" s="1267"/>
      <c r="C36" s="1267"/>
      <c r="D36" s="1267"/>
      <c r="E36" s="1267"/>
      <c r="F36" s="1267"/>
      <c r="G36" s="1267"/>
      <c r="H36" s="1267"/>
      <c r="I36" s="1267"/>
      <c r="J36" s="1267"/>
      <c r="K36" s="1267"/>
      <c r="L36" s="1267"/>
      <c r="M36" s="1410"/>
      <c r="N36" s="1267"/>
      <c r="O36" s="1267"/>
      <c r="P36" s="1267"/>
      <c r="U36" s="2098" t="s">
        <v>40</v>
      </c>
      <c r="V36" s="2098"/>
      <c r="W36" s="1402"/>
      <c r="X36" s="2100" t="str">
        <f>IF(TITLE_IST_PUB_CHANGE="",IF(TITLE_IST_PUB="","",TITLE_IST_PUB),TITLE_IST_PUB_CHANGE)</f>
        <v>https://rst.donland.ru</v>
      </c>
      <c r="Y36" s="2100"/>
      <c r="Z36" s="2100"/>
      <c r="AA36" s="2100"/>
      <c r="AB36" s="2100"/>
      <c r="AC36" s="2100"/>
      <c r="AD36" s="2100"/>
      <c r="AE36" s="2100"/>
      <c r="AF36" s="322"/>
      <c r="AG36" s="2100" t="str">
        <f>IF(TITLE_IST_PUB_CHANGE="",IF(TITLE_IST_PUB="","",TITLE_IST_PUB),TITLE_IST_PUB_CHANGE)</f>
        <v>https://rst.donland.ru</v>
      </c>
      <c r="AH36" s="2100"/>
      <c r="AI36" s="2100"/>
      <c r="AJ36" s="2100"/>
      <c r="AK36" s="2100"/>
      <c r="AL36" s="2100"/>
      <c r="AM36" s="2100"/>
      <c r="AN36" s="2100"/>
      <c r="AO36" s="322"/>
      <c r="AP36" s="322"/>
      <c r="AQ36" s="268"/>
      <c r="AR36" s="368"/>
      <c r="AS36" s="368"/>
      <c r="AT36" s="368"/>
      <c r="AU36" s="368"/>
      <c r="AV36" s="368"/>
    </row>
    <row customHeight="1" ht="14.25" hidden="1">
      <c r="R37" s="377"/>
      <c r="S37" s="377"/>
      <c r="T37" s="377"/>
      <c r="U37" s="1305"/>
      <c r="V37" s="361"/>
      <c r="W37" s="361"/>
      <c r="X37" s="316"/>
      <c r="Y37" s="316"/>
      <c r="Z37" s="316"/>
      <c r="AA37" s="316"/>
      <c r="AB37" s="316"/>
      <c r="AC37" s="316"/>
      <c r="AD37" s="316"/>
      <c r="AE37" s="316"/>
      <c r="AF37" s="316"/>
      <c r="AG37" s="316"/>
      <c r="AH37" s="316"/>
      <c r="AI37" s="316"/>
      <c r="AJ37" s="316"/>
      <c r="AK37" s="316"/>
      <c r="AL37" s="316"/>
      <c r="AM37" s="316"/>
      <c r="AN37" s="316"/>
      <c r="AO37" s="316"/>
      <c r="AP37" s="515"/>
    </row>
    <row s="3306" customFormat="1" customHeight="1" ht="18.75" hidden="1">
      <c r="A38" s="1267"/>
      <c r="B38" s="1267"/>
      <c r="C38" s="1267"/>
      <c r="D38" s="1267"/>
      <c r="E38" s="1267"/>
      <c r="F38" s="1267"/>
      <c r="G38" s="1267"/>
      <c r="H38" s="1267"/>
      <c r="I38" s="1267"/>
      <c r="J38" s="1267"/>
      <c r="K38" s="1267"/>
      <c r="L38" s="1267"/>
      <c r="M38" s="1410"/>
      <c r="N38" s="1267"/>
      <c r="O38" s="1267"/>
      <c r="P38" s="1267"/>
      <c r="U38" s="2098" t="s">
        <v>415</v>
      </c>
      <c r="V38" s="2098"/>
      <c r="W38" s="1402"/>
      <c r="X38" s="2099" t="str">
        <f>IF(TITLE_DATE_PR_CHANGE="",IF(TITLE_DATE_PR="","",TITLE_DATE_PR),TITLE_DATE_PR_CHANGE)</f>
        <v>45245.61800925926</v>
      </c>
      <c r="Y38" s="2099"/>
      <c r="Z38" s="2099"/>
      <c r="AA38" s="2099"/>
      <c r="AB38" s="2099"/>
      <c r="AC38" s="2099"/>
      <c r="AD38" s="2099"/>
      <c r="AE38" s="2099"/>
      <c r="AF38" s="322"/>
      <c r="AG38" s="2099" t="str">
        <f>IF(TITLE_DATE_PR_CHANGE="",IF(TITLE_DATE_PR="","",TITLE_DATE_PR),TITLE_DATE_PR_CHANGE)</f>
        <v>45245.61800925926</v>
      </c>
      <c r="AH38" s="2099"/>
      <c r="AI38" s="2099"/>
      <c r="AJ38" s="2099"/>
      <c r="AK38" s="2099"/>
      <c r="AL38" s="2099"/>
      <c r="AM38" s="2099"/>
      <c r="AN38" s="2099"/>
      <c r="AO38" s="322"/>
      <c r="AP38" s="322"/>
      <c r="AQ38" s="268"/>
      <c r="AR38" s="368"/>
      <c r="AS38" s="368"/>
      <c r="AT38" s="368"/>
      <c r="AU38" s="368"/>
      <c r="AV38" s="368"/>
    </row>
    <row s="3306" customFormat="1" customHeight="1" ht="18.75" hidden="1">
      <c r="A39" s="1267"/>
      <c r="B39" s="1267"/>
      <c r="C39" s="1267"/>
      <c r="D39" s="1267"/>
      <c r="E39" s="1267"/>
      <c r="F39" s="1267"/>
      <c r="G39" s="1267"/>
      <c r="H39" s="1267"/>
      <c r="I39" s="1267"/>
      <c r="J39" s="1267"/>
      <c r="K39" s="1267"/>
      <c r="L39" s="1267"/>
      <c r="M39" s="1410"/>
      <c r="N39" s="1267"/>
      <c r="O39" s="1267"/>
      <c r="P39" s="1267"/>
      <c r="U39" s="2098" t="s">
        <v>416</v>
      </c>
      <c r="V39" s="2098"/>
      <c r="W39" s="1402"/>
      <c r="X39" s="2100" t="str">
        <f>IF(TITLE_NUMBER_PR_CHANGE="",IF(TITLE_NUMBER_PR="","",TITLE_NUMBER_PR),TITLE_NUMBER_PR_CHANGE)</f>
        <v>550</v>
      </c>
      <c r="Y39" s="2100"/>
      <c r="Z39" s="2100"/>
      <c r="AA39" s="2100"/>
      <c r="AB39" s="2100"/>
      <c r="AC39" s="2100"/>
      <c r="AD39" s="2100"/>
      <c r="AE39" s="2100"/>
      <c r="AF39" s="322"/>
      <c r="AG39" s="2100" t="str">
        <f>IF(TITLE_NUMBER_PR_CHANGE="",IF(TITLE_NUMBER_PR="","",TITLE_NUMBER_PR),TITLE_NUMBER_PR_CHANGE)</f>
        <v>550</v>
      </c>
      <c r="AH39" s="2100"/>
      <c r="AI39" s="2100"/>
      <c r="AJ39" s="2100"/>
      <c r="AK39" s="2100"/>
      <c r="AL39" s="2100"/>
      <c r="AM39" s="2100"/>
      <c r="AN39" s="2100"/>
      <c r="AO39" s="322"/>
      <c r="AP39" s="322"/>
      <c r="AQ39" s="268"/>
      <c r="AR39" s="368"/>
      <c r="AS39" s="368"/>
      <c r="AT39" s="368"/>
      <c r="AU39" s="368"/>
      <c r="AV39" s="368"/>
    </row>
    <row s="3306" customFormat="1" customHeight="1" ht="0">
      <c r="A40" s="1267"/>
      <c r="B40" s="1267"/>
      <c r="C40" s="1267"/>
      <c r="D40" s="1267"/>
      <c r="E40" s="1267"/>
      <c r="F40" s="1267"/>
      <c r="G40" s="1267"/>
      <c r="H40" s="1267"/>
      <c r="I40" s="1267"/>
      <c r="J40" s="1267"/>
      <c r="K40" s="1267"/>
      <c r="L40" s="1267"/>
      <c r="M40" s="1410"/>
      <c r="N40" s="1267"/>
      <c r="O40" s="1267"/>
      <c r="P40" s="1267"/>
      <c r="U40" s="318"/>
      <c r="V40" s="318"/>
      <c r="W40" s="1370"/>
      <c r="X40" s="322"/>
      <c r="Y40" s="322"/>
      <c r="Z40" s="322"/>
      <c r="AA40" s="322"/>
      <c r="AB40" s="322"/>
      <c r="AC40" s="322"/>
      <c r="AD40" s="322"/>
      <c r="AE40" s="322"/>
      <c r="AF40" s="266" t="s">
        <v>417</v>
      </c>
      <c r="AG40" s="322"/>
      <c r="AH40" s="322"/>
      <c r="AI40" s="322"/>
      <c r="AJ40" s="322"/>
      <c r="AK40" s="322"/>
      <c r="AL40" s="322"/>
      <c r="AM40" s="322"/>
      <c r="AN40" s="322"/>
      <c r="AO40" s="266" t="s">
        <v>417</v>
      </c>
      <c r="AR40" s="368"/>
      <c r="AS40" s="368"/>
      <c r="AT40" s="368"/>
      <c r="AU40" s="368"/>
      <c r="AV40" s="368"/>
    </row>
    <row customHeight="1" ht="14.25">
      <c r="R41" s="377"/>
      <c r="S41" s="377"/>
      <c r="T41" s="377"/>
      <c r="U41" s="1305"/>
      <c r="V41" s="361"/>
      <c r="W41" s="1262"/>
      <c r="X41" s="2124"/>
      <c r="Y41" s="2124"/>
      <c r="Z41" s="2124"/>
      <c r="AA41" s="2124"/>
      <c r="AB41" s="2124"/>
      <c r="AC41" s="2124"/>
      <c r="AD41" s="2124"/>
      <c r="AE41" s="2124"/>
      <c r="AF41" s="2124"/>
      <c r="AG41" s="2124"/>
      <c r="AH41" s="2124"/>
      <c r="AI41" s="2124"/>
      <c r="AJ41" s="2124"/>
      <c r="AK41" s="2124"/>
      <c r="AL41" s="2124"/>
      <c r="AM41" s="2124"/>
      <c r="AN41" s="2124"/>
      <c r="AO41" s="2124"/>
    </row>
    <row customHeight="1" ht="14.25">
      <c r="R42" s="377"/>
      <c r="S42" s="377"/>
      <c r="T42" s="377"/>
      <c r="U42" s="1971" t="s">
        <v>291</v>
      </c>
      <c r="V42" s="1971"/>
      <c r="W42" s="1971"/>
      <c r="X42" s="1971"/>
      <c r="Y42" s="1971"/>
      <c r="Z42" s="1971"/>
      <c r="AA42" s="1971"/>
      <c r="AB42" s="1971"/>
      <c r="AC42" s="1971"/>
      <c r="AD42" s="1971"/>
      <c r="AE42" s="1971"/>
      <c r="AF42" s="1971"/>
      <c r="AG42" s="1971"/>
      <c r="AH42" s="1971"/>
      <c r="AI42" s="1971"/>
      <c r="AJ42" s="1971"/>
      <c r="AK42" s="1971"/>
      <c r="AL42" s="1971"/>
      <c r="AM42" s="1971"/>
      <c r="AN42" s="1971"/>
      <c r="AO42" s="1971"/>
      <c r="AP42" s="1971"/>
      <c r="AQ42" s="1971" t="s">
        <v>292</v>
      </c>
    </row>
    <row customHeight="1" ht="14.25">
      <c r="R43" s="377"/>
      <c r="S43" s="377"/>
      <c r="T43" s="377"/>
      <c r="U43" s="2125" t="s">
        <v>87</v>
      </c>
      <c r="V43" s="2062" t="s">
        <v>418</v>
      </c>
      <c r="W43" s="289"/>
      <c r="X43" s="2126" t="s">
        <v>419</v>
      </c>
      <c r="Y43" s="2146"/>
      <c r="Z43" s="2146"/>
      <c r="AA43" s="2146"/>
      <c r="AB43" s="2146"/>
      <c r="AC43" s="2127"/>
      <c r="AD43" s="2127"/>
      <c r="AE43" s="2128"/>
      <c r="AF43" s="2129" t="s">
        <v>420</v>
      </c>
      <c r="AG43" s="2126" t="s">
        <v>419</v>
      </c>
      <c r="AH43" s="2146"/>
      <c r="AI43" s="2146"/>
      <c r="AJ43" s="2146"/>
      <c r="AK43" s="2146"/>
      <c r="AL43" s="2127"/>
      <c r="AM43" s="2127"/>
      <c r="AN43" s="2128"/>
      <c r="AO43" s="2129" t="s">
        <v>421</v>
      </c>
      <c r="AP43" s="2132" t="s">
        <v>422</v>
      </c>
      <c r="AQ43" s="1971"/>
    </row>
    <row customHeight="1" ht="33.75">
      <c r="R44" s="377"/>
      <c r="S44" s="377"/>
      <c r="T44" s="377"/>
      <c r="U44" s="2125"/>
      <c r="V44" s="2062"/>
      <c r="W44" s="1038"/>
      <c r="X44" s="2144" t="s">
        <v>449</v>
      </c>
      <c r="Y44" s="2153" t="s">
        <v>450</v>
      </c>
      <c r="Z44" s="2153"/>
      <c r="AA44" s="2153"/>
      <c r="AB44" s="2153"/>
      <c r="AC44" s="2144" t="s">
        <v>426</v>
      </c>
      <c r="AD44" s="2162"/>
      <c r="AE44" s="2163"/>
      <c r="AF44" s="2130"/>
      <c r="AG44" s="2144" t="s">
        <v>449</v>
      </c>
      <c r="AH44" s="2153" t="s">
        <v>450</v>
      </c>
      <c r="AI44" s="2153"/>
      <c r="AJ44" s="2153"/>
      <c r="AK44" s="2153"/>
      <c r="AL44" s="2144" t="s">
        <v>426</v>
      </c>
      <c r="AM44" s="2162"/>
      <c r="AN44" s="2163"/>
      <c r="AO44" s="2130"/>
      <c r="AP44" s="2133"/>
      <c r="AQ44" s="1971"/>
    </row>
    <row customHeight="1" ht="14.25">
      <c r="R45" s="377"/>
      <c r="S45" s="377"/>
      <c r="T45" s="377"/>
      <c r="U45" s="2125"/>
      <c r="V45" s="2062"/>
      <c r="W45" s="1038"/>
      <c r="X45" s="2166"/>
      <c r="Y45" s="2154" t="s">
        <v>451</v>
      </c>
      <c r="Z45" s="2121" t="s">
        <v>452</v>
      </c>
      <c r="AA45" s="2157"/>
      <c r="AB45" s="2122"/>
      <c r="AC45" s="2145"/>
      <c r="AD45" s="2164"/>
      <c r="AE45" s="2165"/>
      <c r="AF45" s="2130"/>
      <c r="AG45" s="2166"/>
      <c r="AH45" s="2154" t="s">
        <v>451</v>
      </c>
      <c r="AI45" s="2121" t="s">
        <v>452</v>
      </c>
      <c r="AJ45" s="2157"/>
      <c r="AK45" s="2122"/>
      <c r="AL45" s="2145"/>
      <c r="AM45" s="2164"/>
      <c r="AN45" s="2165"/>
      <c r="AO45" s="2130"/>
      <c r="AP45" s="2133"/>
      <c r="AQ45" s="1971"/>
    </row>
    <row customHeight="1" ht="25.5">
      <c r="R46" s="377"/>
      <c r="S46" s="377"/>
      <c r="T46" s="377"/>
      <c r="U46" s="2125"/>
      <c r="V46" s="2062"/>
      <c r="W46" s="1038"/>
      <c r="X46" s="2166"/>
      <c r="Y46" s="2155"/>
      <c r="Z46" s="2154" t="s">
        <v>453</v>
      </c>
      <c r="AA46" s="2121" t="s">
        <v>454</v>
      </c>
      <c r="AB46" s="2122"/>
      <c r="AC46" s="2154" t="s">
        <v>436</v>
      </c>
      <c r="AD46" s="2158" t="s">
        <v>437</v>
      </c>
      <c r="AE46" s="2159"/>
      <c r="AF46" s="2130"/>
      <c r="AG46" s="2166"/>
      <c r="AH46" s="2155"/>
      <c r="AI46" s="2154" t="s">
        <v>453</v>
      </c>
      <c r="AJ46" s="2121" t="s">
        <v>454</v>
      </c>
      <c r="AK46" s="2122"/>
      <c r="AL46" s="2154" t="s">
        <v>436</v>
      </c>
      <c r="AM46" s="2158" t="s">
        <v>437</v>
      </c>
      <c r="AN46" s="2159"/>
      <c r="AO46" s="2130"/>
      <c r="AP46" s="2133"/>
      <c r="AQ46" s="1971"/>
    </row>
    <row customHeight="1" ht="62.25">
      <c r="A47" s="1288"/>
      <c r="B47" s="1288" t="s">
        <v>134</v>
      </c>
      <c r="C47" s="1288" t="s">
        <v>135</v>
      </c>
      <c r="D47" s="1288" t="s">
        <v>136</v>
      </c>
      <c r="E47" s="1340" t="s">
        <v>427</v>
      </c>
      <c r="F47" s="1340" t="s">
        <v>428</v>
      </c>
      <c r="G47" s="1340" t="s">
        <v>429</v>
      </c>
      <c r="H47" s="1340" t="s">
        <v>430</v>
      </c>
      <c r="I47" s="1340" t="s">
        <v>431</v>
      </c>
      <c r="J47" s="1340" t="s">
        <v>432</v>
      </c>
      <c r="K47" s="1340" t="s">
        <v>433</v>
      </c>
      <c r="L47" s="1340" t="s">
        <v>455</v>
      </c>
      <c r="M47" s="1340" t="s">
        <v>408</v>
      </c>
      <c r="R47" s="377"/>
      <c r="S47" s="377"/>
      <c r="T47" s="377"/>
      <c r="U47" s="2125"/>
      <c r="V47" s="2062"/>
      <c r="W47" s="290"/>
      <c r="X47" s="2145"/>
      <c r="Y47" s="2156"/>
      <c r="Z47" s="2156"/>
      <c r="AA47" s="1237" t="s">
        <v>456</v>
      </c>
      <c r="AB47" s="1237" t="s">
        <v>457</v>
      </c>
      <c r="AC47" s="2156"/>
      <c r="AD47" s="2160"/>
      <c r="AE47" s="2161"/>
      <c r="AF47" s="2131"/>
      <c r="AG47" s="2145"/>
      <c r="AH47" s="2156"/>
      <c r="AI47" s="2156"/>
      <c r="AJ47" s="1237" t="s">
        <v>456</v>
      </c>
      <c r="AK47" s="1237" t="s">
        <v>457</v>
      </c>
      <c r="AL47" s="2156"/>
      <c r="AM47" s="2160"/>
      <c r="AN47" s="2161"/>
      <c r="AO47" s="2131"/>
      <c r="AP47" s="2134"/>
      <c r="AQ47" s="1971"/>
    </row>
    <row s="2611" customFormat="1" customHeight="1" ht="11.25" hidden="1">
      <c r="A48" s="1288"/>
      <c r="B48" s="1288"/>
      <c r="C48" s="1288"/>
      <c r="D48" s="1288"/>
      <c r="E48" s="1288"/>
      <c r="F48" s="1288"/>
      <c r="G48" s="1288"/>
      <c r="H48" s="1288"/>
      <c r="I48" s="1288"/>
      <c r="J48" s="1288"/>
      <c r="K48" s="1288"/>
      <c r="L48" s="1288"/>
      <c r="M48" s="1340"/>
      <c r="N48" s="1358"/>
      <c r="O48" s="1358"/>
      <c r="P48" s="1358"/>
      <c r="Q48" s="1264"/>
      <c r="R48" s="1265"/>
      <c r="S48" s="1280">
        <v>1</v>
      </c>
      <c r="T48" s="1280"/>
      <c r="U48" s="1307" t="s">
        <v>108</v>
      </c>
      <c r="V48" s="1281" t="s">
        <v>109</v>
      </c>
      <c r="W48" s="1263" t="str">
        <f>OFFSET(W48,0,-1)</f>
        <v>2</v>
      </c>
      <c r="X48" s="1365">
        <f>OFFSET(X48,0,-1)+1</f>
        <v>3</v>
      </c>
      <c r="Y48" s="1371"/>
      <c r="Z48" s="1371"/>
      <c r="AA48" s="1371">
        <f>OFFSET(AA48,0,-1)+1</f>
        <v>1</v>
      </c>
      <c r="AB48" s="1371">
        <f>OFFSET(AB48,0,-1)+1</f>
        <v>2</v>
      </c>
      <c r="AC48" s="1365">
        <f>OFFSET(AC48,0,-1)+1</f>
        <v>3</v>
      </c>
      <c r="AD48" s="2123">
        <f>OFFSET(AD48,0,-1)+1</f>
        <v>4</v>
      </c>
      <c r="AE48" s="2123"/>
      <c r="AF48" s="1365">
        <f>OFFSET(AF48,0,-2)+1</f>
        <v>5</v>
      </c>
      <c r="AG48" s="1365">
        <f>OFFSET(AG48,0,-1)+1</f>
        <v>6</v>
      </c>
      <c r="AH48" s="1365"/>
      <c r="AI48" s="1365"/>
      <c r="AJ48" s="1365">
        <f>OFFSET(AJ48,0,-1)+1</f>
        <v>1</v>
      </c>
      <c r="AK48" s="1365">
        <f>OFFSET(AK48,0,-1)+1</f>
        <v>2</v>
      </c>
      <c r="AL48" s="1365">
        <f>OFFSET(AL48,0,-1)+1</f>
        <v>3</v>
      </c>
      <c r="AM48" s="2123">
        <f>OFFSET(AM48,0,-1)+1</f>
        <v>4</v>
      </c>
      <c r="AN48" s="2123"/>
      <c r="AO48" s="1365">
        <f>OFFSET(AO48,0,-2)+1</f>
        <v>5</v>
      </c>
      <c r="AP48" s="1263">
        <f>OFFSET(AP48,0,-1)</f>
        <v>5</v>
      </c>
      <c r="AQ48" s="1365">
        <f>OFFSET(AQ48,0,-1)+1</f>
        <v>6</v>
      </c>
      <c r="AR48" s="517"/>
      <c r="AS48" s="517"/>
      <c r="AT48" s="517"/>
      <c r="AU48" s="517"/>
      <c r="AV48" s="517"/>
    </row>
    <row customHeight="1" ht="21">
      <c r="A49" s="1296" t="s">
        <v>179</v>
      </c>
      <c r="B49" s="1296"/>
      <c r="C49" s="1296"/>
      <c r="D49" s="1296"/>
      <c r="E49" s="2167">
        <v>1</v>
      </c>
      <c r="F49" s="1296"/>
      <c r="G49" s="1296"/>
      <c r="H49" s="1296"/>
      <c r="I49" s="1296"/>
      <c r="J49" s="1296"/>
      <c r="K49" s="1296"/>
      <c r="L49" s="1296"/>
      <c r="M49" s="1340"/>
      <c r="N49" s="694"/>
      <c r="O49" s="694"/>
      <c r="P49" s="694"/>
      <c r="Q49" s="357"/>
      <c r="R49" s="356"/>
      <c r="S49" s="356"/>
      <c r="T49" s="351"/>
      <c r="U49" s="1366">
        <f>INDEX(PT_DIFFERENTIATION_NUM_NTAR,MATCH(A49,PT_DIFFERENTIATION_NTAR_ID,0))</f>
        <v>0</v>
      </c>
      <c r="V49" s="286" t="s">
        <v>122</v>
      </c>
      <c r="W49" s="288"/>
      <c r="X49" s="2101"/>
      <c r="Y49" s="2102"/>
      <c r="Z49" s="2102"/>
      <c r="AA49" s="2102"/>
      <c r="AB49" s="2102"/>
      <c r="AC49" s="2102"/>
      <c r="AD49" s="2102"/>
      <c r="AE49" s="2102"/>
      <c r="AF49" s="2103"/>
      <c r="AG49" s="2101" t="str">
        <f>INDEX(PT_DIFFERENTIATION_NTAR,MATCH(A49,PT_DIFFERENTIATION_NTAR_ID,0))</f>
        <v/>
      </c>
      <c r="AH49" s="2102"/>
      <c r="AI49" s="2102"/>
      <c r="AJ49" s="2102"/>
      <c r="AK49" s="2102"/>
      <c r="AL49" s="2102"/>
      <c r="AM49" s="2102"/>
      <c r="AN49" s="2102"/>
      <c r="AO49" s="2102"/>
      <c r="AP49" s="2103"/>
      <c r="AQ49" s="128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6"/>
      <c r="AT49" s="506" t="str">
        <f>IF(V49="","",V49)</f>
        <v>Наименование тарифа</v>
      </c>
      <c r="AU49" s="506"/>
      <c r="AV49" s="506"/>
    </row>
    <row customHeight="1" ht="21">
      <c r="A50" s="1296" t="s">
        <v>179</v>
      </c>
      <c r="B50" s="1296" t="s">
        <v>180</v>
      </c>
      <c r="C50" s="1296"/>
      <c r="D50" s="1296"/>
      <c r="E50" s="2168"/>
      <c r="F50" s="2167">
        <v>1</v>
      </c>
      <c r="G50" s="1296"/>
      <c r="H50" s="1296"/>
      <c r="I50" s="1296"/>
      <c r="J50" s="1296"/>
      <c r="K50" s="1296"/>
      <c r="L50" s="1296"/>
      <c r="M50" s="1340"/>
      <c r="N50" s="694"/>
      <c r="O50" s="694"/>
      <c r="P50" s="694"/>
      <c r="Q50" s="1362"/>
      <c r="R50" s="348"/>
      <c r="S50" s="515"/>
      <c r="T50" s="349"/>
      <c r="U50" s="1366" t="str">
        <f>INDEX(PT_DIFFERENTIATION_NUM_TER,MATCH(B50,PT_DIFFERENTIATION_TER_ID,0))</f>
        <v>.</v>
      </c>
      <c r="V50" s="298" t="s">
        <v>390</v>
      </c>
      <c r="W50" s="288"/>
      <c r="X50" s="2101"/>
      <c r="Y50" s="2102"/>
      <c r="Z50" s="2102"/>
      <c r="AA50" s="2102"/>
      <c r="AB50" s="2102"/>
      <c r="AC50" s="2102"/>
      <c r="AD50" s="2102"/>
      <c r="AE50" s="2102"/>
      <c r="AF50" s="2103"/>
      <c r="AG50" s="2101" t="str">
        <f>INDEX(PT_DIFFERENTIATION_TER,MATCH(B50,PT_DIFFERENTIATION_TER_ID,0))</f>
        <v/>
      </c>
      <c r="AH50" s="2102"/>
      <c r="AI50" s="2102"/>
      <c r="AJ50" s="2102"/>
      <c r="AK50" s="2102"/>
      <c r="AL50" s="2102"/>
      <c r="AM50" s="2102"/>
      <c r="AN50" s="2102"/>
      <c r="AO50" s="2102"/>
      <c r="AP50" s="2103"/>
      <c r="AQ50" s="1286" t="s">
        <v>391</v>
      </c>
      <c r="AS50" s="506"/>
      <c r="AT50" s="506" t="str">
        <f>IF(V50="","",V50)</f>
        <v>Территория действия тарифа</v>
      </c>
      <c r="AU50" s="506"/>
      <c r="AV50" s="506"/>
    </row>
    <row customHeight="1" ht="22.5">
      <c r="A51" s="1296" t="s">
        <v>179</v>
      </c>
      <c r="B51" s="1296" t="s">
        <v>180</v>
      </c>
      <c r="C51" s="1296" t="s">
        <v>181</v>
      </c>
      <c r="D51" s="1296"/>
      <c r="E51" s="2168"/>
      <c r="F51" s="2168"/>
      <c r="G51" s="2167">
        <v>1</v>
      </c>
      <c r="H51" s="1296"/>
      <c r="I51" s="1296"/>
      <c r="J51" s="1296"/>
      <c r="K51" s="1296"/>
      <c r="L51" s="1296"/>
      <c r="M51" s="1340"/>
      <c r="N51" s="694"/>
      <c r="O51" s="694"/>
      <c r="P51" s="694"/>
      <c r="Q51" s="350"/>
      <c r="R51" s="348"/>
      <c r="S51" s="515"/>
      <c r="T51" s="349"/>
      <c r="U51" s="1366" t="str">
        <f>INDEX(PT_DIFFERENTIATION_NUM_CS,MATCH(C51,PT_DIFFERENTIATION_CS_ID,0))</f>
        <v>..</v>
      </c>
      <c r="V51" s="299" t="s">
        <v>392</v>
      </c>
      <c r="W51" s="288"/>
      <c r="X51" s="2101"/>
      <c r="Y51" s="2102"/>
      <c r="Z51" s="2102"/>
      <c r="AA51" s="2102"/>
      <c r="AB51" s="2102"/>
      <c r="AC51" s="2102"/>
      <c r="AD51" s="2102"/>
      <c r="AE51" s="2102"/>
      <c r="AF51" s="2103"/>
      <c r="AG51" s="2101" t="str">
        <f>INDEX(PT_DIFFERENTIATION_CS,MATCH(C51,PT_DIFFERENTIATION_CS_ID,0))</f>
        <v/>
      </c>
      <c r="AH51" s="2102"/>
      <c r="AI51" s="2102"/>
      <c r="AJ51" s="2102"/>
      <c r="AK51" s="2102"/>
      <c r="AL51" s="2102"/>
      <c r="AM51" s="2102"/>
      <c r="AN51" s="2102"/>
      <c r="AO51" s="2102"/>
      <c r="AP51" s="2103"/>
      <c r="AQ51" s="1286" t="s">
        <v>393</v>
      </c>
      <c r="AS51" s="506"/>
      <c r="AT51" s="506" t="str">
        <f>IF(V51="","",V51)</f>
        <v>Наименование системы теплоснабжения </v>
      </c>
      <c r="AU51" s="506"/>
      <c r="AV51" s="506"/>
    </row>
    <row customHeight="1" ht="21">
      <c r="A52" s="1296" t="s">
        <v>179</v>
      </c>
      <c r="B52" s="1296" t="s">
        <v>180</v>
      </c>
      <c r="C52" s="1296" t="s">
        <v>181</v>
      </c>
      <c r="D52" s="1296" t="s">
        <v>182</v>
      </c>
      <c r="E52" s="2168"/>
      <c r="F52" s="2168"/>
      <c r="G52" s="2168"/>
      <c r="H52" s="2169">
        <v>1</v>
      </c>
      <c r="I52" s="1296"/>
      <c r="J52" s="1296"/>
      <c r="K52" s="1296"/>
      <c r="L52" s="1296"/>
      <c r="M52" s="1340"/>
      <c r="N52" s="694"/>
      <c r="O52" s="694"/>
      <c r="P52" s="694"/>
      <c r="Q52" s="350"/>
      <c r="R52" s="348"/>
      <c r="S52" s="515"/>
      <c r="T52" s="349"/>
      <c r="U52" s="1366" t="str">
        <f>INDEX(PT_DIFFERENTIATION_NUM_IST_TE,MATCH(D52,PT_DIFFERENTIATION_IST_TE_ID,0))</f>
        <v>...</v>
      </c>
      <c r="V52" s="300" t="s">
        <v>394</v>
      </c>
      <c r="W52" s="288"/>
      <c r="X52" s="2101"/>
      <c r="Y52" s="2102"/>
      <c r="Z52" s="2102"/>
      <c r="AA52" s="2102"/>
      <c r="AB52" s="2102"/>
      <c r="AC52" s="2102"/>
      <c r="AD52" s="2102"/>
      <c r="AE52" s="2102"/>
      <c r="AF52" s="2103"/>
      <c r="AG52" s="2101" t="str">
        <f>INDEX(PT_DIFFERENTIATION_IST_TE,MATCH(D52,PT_DIFFERENTIATION_IST_TE_ID,0))</f>
        <v/>
      </c>
      <c r="AH52" s="2102"/>
      <c r="AI52" s="2102"/>
      <c r="AJ52" s="2102"/>
      <c r="AK52" s="2102"/>
      <c r="AL52" s="2102"/>
      <c r="AM52" s="2102"/>
      <c r="AN52" s="2102"/>
      <c r="AO52" s="2102"/>
      <c r="AP52" s="2103"/>
      <c r="AQ52" s="1286" t="s">
        <v>395</v>
      </c>
      <c r="AS52" s="506"/>
      <c r="AT52" s="506" t="str">
        <f>IF(V52="","",V52)</f>
        <v>Источник тепловой энергии  </v>
      </c>
      <c r="AU52" s="506"/>
      <c r="AV52" s="506"/>
    </row>
    <row s="2612" customFormat="1" customHeight="1" ht="0">
      <c r="A53" s="1405" t="s">
        <v>179</v>
      </c>
      <c r="B53" s="1405" t="s">
        <v>180</v>
      </c>
      <c r="C53" s="1405" t="s">
        <v>181</v>
      </c>
      <c r="D53" s="1405" t="s">
        <v>182</v>
      </c>
      <c r="E53" s="2168"/>
      <c r="F53" s="2168"/>
      <c r="G53" s="2168"/>
      <c r="H53" s="2170"/>
      <c r="I53" s="1971" t="str">
        <f>U52&amp;".1"</f>
        <v>....1</v>
      </c>
      <c r="J53" s="1405"/>
      <c r="K53" s="1405"/>
      <c r="L53" s="1405"/>
      <c r="M53" s="1411" t="s">
        <v>396</v>
      </c>
      <c r="N53" s="1264"/>
      <c r="O53" s="1264"/>
      <c r="P53" s="1264"/>
      <c r="Q53" s="2111">
        <v>1</v>
      </c>
      <c r="R53" s="1361"/>
      <c r="S53" s="1361"/>
      <c r="T53" s="352"/>
      <c r="U53" s="1049"/>
      <c r="V53" s="1413"/>
      <c r="W53" s="1414"/>
      <c r="X53" s="2147"/>
      <c r="Y53" s="2148"/>
      <c r="Z53" s="2148"/>
      <c r="AA53" s="2148"/>
      <c r="AB53" s="2148"/>
      <c r="AC53" s="2148"/>
      <c r="AD53" s="2148"/>
      <c r="AE53" s="2148"/>
      <c r="AF53" s="2149"/>
      <c r="AG53" s="2147"/>
      <c r="AH53" s="2148"/>
      <c r="AI53" s="2148"/>
      <c r="AJ53" s="2148"/>
      <c r="AK53" s="2148"/>
      <c r="AL53" s="2148"/>
      <c r="AM53" s="2148"/>
      <c r="AN53" s="2148"/>
      <c r="AO53" s="2148"/>
      <c r="AP53" s="2149"/>
      <c r="AQ53" s="1415"/>
      <c r="AS53" s="506"/>
      <c r="AT53" s="506" t="str">
        <f>IF(V53="","",V53)</f>
        <v/>
      </c>
      <c r="AU53" s="506"/>
      <c r="AV53" s="506"/>
    </row>
    <row customHeight="1" ht="21">
      <c r="A54" s="1296" t="s">
        <v>179</v>
      </c>
      <c r="B54" s="1296" t="s">
        <v>180</v>
      </c>
      <c r="C54" s="1296" t="s">
        <v>181</v>
      </c>
      <c r="D54" s="1296" t="s">
        <v>182</v>
      </c>
      <c r="E54" s="2168"/>
      <c r="F54" s="2168"/>
      <c r="G54" s="2168"/>
      <c r="H54" s="2170"/>
      <c r="I54" s="1955"/>
      <c r="J54" s="1971" t="str">
        <f>I53&amp;".1"</f>
        <v>....1.1</v>
      </c>
      <c r="K54" s="1296"/>
      <c r="L54" s="1296"/>
      <c r="M54" s="1340" t="s">
        <v>399</v>
      </c>
      <c r="Q54" s="2111"/>
      <c r="R54" s="2111">
        <v>1</v>
      </c>
      <c r="S54" s="524"/>
      <c r="T54" s="353"/>
      <c r="U54" s="1366" t="str">
        <f>$J54</f>
        <v>....1.1</v>
      </c>
      <c r="V54" s="274" t="s">
        <v>400</v>
      </c>
      <c r="W54" s="288"/>
      <c r="X54" s="2095"/>
      <c r="Y54" s="2096"/>
      <c r="Z54" s="2096"/>
      <c r="AA54" s="2096"/>
      <c r="AB54" s="2096"/>
      <c r="AC54" s="2088"/>
      <c r="AD54" s="2088"/>
      <c r="AE54" s="2088"/>
      <c r="AF54" s="2171"/>
      <c r="AG54" s="2095"/>
      <c r="AH54" s="2096"/>
      <c r="AI54" s="2096"/>
      <c r="AJ54" s="2096"/>
      <c r="AK54" s="2096"/>
      <c r="AL54" s="2096"/>
      <c r="AM54" s="2096"/>
      <c r="AN54" s="2096"/>
      <c r="AO54" s="2096"/>
      <c r="AP54" s="2097"/>
      <c r="AQ54" s="1286" t="s">
        <v>401</v>
      </c>
      <c r="AS54" s="506"/>
      <c r="AT54" s="506" t="str">
        <f>IF(V54="","",V54)</f>
        <v>Группа потребителей</v>
      </c>
      <c r="AU54" s="506"/>
      <c r="AV54" s="506"/>
    </row>
    <row customHeight="1" ht="21">
      <c r="A55" s="1296" t="s">
        <v>179</v>
      </c>
      <c r="B55" s="1296" t="s">
        <v>180</v>
      </c>
      <c r="C55" s="1296" t="s">
        <v>181</v>
      </c>
      <c r="D55" s="1296" t="s">
        <v>182</v>
      </c>
      <c r="E55" s="2168"/>
      <c r="F55" s="2168"/>
      <c r="G55" s="2168"/>
      <c r="H55" s="2170"/>
      <c r="I55" s="1955"/>
      <c r="J55" s="1955"/>
      <c r="K55" s="1971" t="str">
        <f>J54&amp;".1"</f>
        <v>....1.1.1</v>
      </c>
      <c r="L55" s="125"/>
      <c r="M55" s="1340" t="s">
        <v>402</v>
      </c>
      <c r="Q55" s="2111"/>
      <c r="R55" s="2111"/>
      <c r="S55" s="524">
        <v>1</v>
      </c>
      <c r="T55" s="353"/>
      <c r="U55" s="1366" t="str">
        <f>$K55</f>
        <v>....1.1.1</v>
      </c>
      <c r="V55" s="1377"/>
      <c r="W55" s="288"/>
      <c r="X55" s="757"/>
      <c r="Y55" s="757"/>
      <c r="Z55" s="757"/>
      <c r="AA55" s="757"/>
      <c r="AB55" s="1435"/>
      <c r="AC55" s="2112"/>
      <c r="AD55" s="1981" t="s">
        <v>61</v>
      </c>
      <c r="AE55" s="2112"/>
      <c r="AF55" s="1981" t="s">
        <v>61</v>
      </c>
      <c r="AG55" s="1437"/>
      <c r="AH55" s="757"/>
      <c r="AI55" s="757"/>
      <c r="AJ55" s="757"/>
      <c r="AK55" s="1285"/>
      <c r="AL55" s="2112"/>
      <c r="AM55" s="1981" t="s">
        <v>61</v>
      </c>
      <c r="AN55" s="2112"/>
      <c r="AO55" s="1981" t="s">
        <v>61</v>
      </c>
      <c r="AP55" s="1378"/>
      <c r="AQ55" s="1337" t="s">
        <v>446</v>
      </c>
      <c r="AR55" s="517">
        <f>STRCHECKDATE(X57:AP57)</f>
      </c>
      <c r="AS55" s="506"/>
      <c r="AT55" s="506" t="str">
        <f>IF(V55="","",V55)</f>
        <v/>
      </c>
      <c r="AU55" s="506"/>
      <c r="AV55" s="506"/>
    </row>
    <row customHeight="1" ht="11.25">
      <c r="A56" s="1296" t="s">
        <v>179</v>
      </c>
      <c r="B56" s="1296" t="s">
        <v>180</v>
      </c>
      <c r="C56" s="1296" t="s">
        <v>181</v>
      </c>
      <c r="D56" s="1296" t="s">
        <v>182</v>
      </c>
      <c r="E56" s="2168"/>
      <c r="F56" s="2168"/>
      <c r="G56" s="2168"/>
      <c r="H56" s="2170"/>
      <c r="I56" s="1955"/>
      <c r="J56" s="1955"/>
      <c r="K56" s="1955"/>
      <c r="L56" s="1971" t="str">
        <f>K55&amp;".1"</f>
        <v>....1.1.1.1</v>
      </c>
      <c r="M56" s="1340"/>
      <c r="Q56" s="2111"/>
      <c r="R56" s="2111"/>
      <c r="S56" s="524">
        <v>1</v>
      </c>
      <c r="T56" s="353"/>
      <c r="U56" s="1366" t="str">
        <f>$L56</f>
        <v>....1.1.1.1</v>
      </c>
      <c r="V56" s="1421"/>
      <c r="W56" s="288"/>
      <c r="X56" s="320"/>
      <c r="Y56" s="757"/>
      <c r="Z56" s="757"/>
      <c r="AA56" s="757"/>
      <c r="AB56" s="1435"/>
      <c r="AC56" s="2152"/>
      <c r="AD56" s="1981"/>
      <c r="AE56" s="2152"/>
      <c r="AF56" s="1981"/>
      <c r="AG56" s="1437"/>
      <c r="AH56" s="757"/>
      <c r="AI56" s="757"/>
      <c r="AJ56" s="757"/>
      <c r="AK56" s="1285"/>
      <c r="AL56" s="2152"/>
      <c r="AM56" s="1981"/>
      <c r="AN56" s="2152"/>
      <c r="AO56" s="1981"/>
      <c r="AP56" s="1378"/>
      <c r="AQ56" s="2137" t="s">
        <v>447</v>
      </c>
      <c r="AR56" s="517">
        <f>STRCHECKDATE(X58:AP58)</f>
      </c>
      <c r="AS56" s="506"/>
      <c r="AT56" s="506" t="str">
        <f>IF(V56="","",V56)</f>
        <v/>
      </c>
      <c r="AU56" s="506"/>
      <c r="AV56" s="506"/>
    </row>
    <row customHeight="1" ht="0">
      <c r="A57" s="1296" t="s">
        <v>179</v>
      </c>
      <c r="B57" s="1296" t="s">
        <v>180</v>
      </c>
      <c r="C57" s="1296" t="s">
        <v>181</v>
      </c>
      <c r="D57" s="1296" t="s">
        <v>182</v>
      </c>
      <c r="E57" s="2168"/>
      <c r="F57" s="2168"/>
      <c r="G57" s="2168"/>
      <c r="H57" s="2170"/>
      <c r="I57" s="1955"/>
      <c r="J57" s="1955"/>
      <c r="K57" s="1955"/>
      <c r="L57" s="1971"/>
      <c r="M57" s="1340"/>
      <c r="Q57" s="2111"/>
      <c r="R57" s="2111"/>
      <c r="S57" s="524"/>
      <c r="T57" s="353"/>
      <c r="U57" s="1372"/>
      <c r="V57" s="288"/>
      <c r="W57" s="288"/>
      <c r="X57" s="320"/>
      <c r="Y57" s="320"/>
      <c r="Z57" s="320"/>
      <c r="AA57" s="320"/>
      <c r="AB57" s="1436" t="str">
        <f>AC55&amp;"-"&amp;AE55</f>
        <v>-</v>
      </c>
      <c r="AC57" s="2152"/>
      <c r="AD57" s="1981"/>
      <c r="AE57" s="2152"/>
      <c r="AF57" s="1981"/>
      <c r="AG57" s="1412"/>
      <c r="AH57" s="320"/>
      <c r="AI57" s="320"/>
      <c r="AJ57" s="320"/>
      <c r="AK57" s="324" t="str">
        <f>AL55&amp;"-"&amp;AN55</f>
        <v>-</v>
      </c>
      <c r="AL57" s="2152"/>
      <c r="AM57" s="1981"/>
      <c r="AN57" s="2152"/>
      <c r="AO57" s="1981"/>
      <c r="AP57" s="1379"/>
      <c r="AQ57" s="2138"/>
      <c r="AS57" s="506"/>
      <c r="AT57" s="506" t="str">
        <f>IF(V57="","",V57)</f>
        <v/>
      </c>
      <c r="AU57" s="506"/>
      <c r="AV57" s="506"/>
    </row>
    <row customHeight="1" ht="11.25">
      <c r="A58" s="1296" t="s">
        <v>179</v>
      </c>
      <c r="B58" s="1296" t="s">
        <v>180</v>
      </c>
      <c r="C58" s="1296" t="s">
        <v>181</v>
      </c>
      <c r="D58" s="1296" t="s">
        <v>182</v>
      </c>
      <c r="E58" s="2168"/>
      <c r="F58" s="2168"/>
      <c r="G58" s="2168"/>
      <c r="H58" s="2170"/>
      <c r="I58" s="1955"/>
      <c r="J58" s="1955"/>
      <c r="K58" s="1971"/>
      <c r="L58" s="1296"/>
      <c r="M58" s="1340"/>
      <c r="Q58" s="2111"/>
      <c r="R58" s="2111"/>
      <c r="S58" s="1361"/>
      <c r="T58" s="352"/>
      <c r="U58" s="1308"/>
      <c r="V58" s="276" t="s">
        <v>448</v>
      </c>
      <c r="W58" s="367"/>
      <c r="X58" s="367"/>
      <c r="Y58" s="367"/>
      <c r="Z58" s="367"/>
      <c r="AA58" s="367"/>
      <c r="AB58" s="367"/>
      <c r="AC58" s="2152"/>
      <c r="AD58" s="1981"/>
      <c r="AE58" s="2152"/>
      <c r="AF58" s="1981"/>
      <c r="AG58" s="367"/>
      <c r="AH58" s="367"/>
      <c r="AI58" s="367"/>
      <c r="AJ58" s="367"/>
      <c r="AK58" s="367"/>
      <c r="AL58" s="2152"/>
      <c r="AM58" s="1981"/>
      <c r="AN58" s="2152"/>
      <c r="AO58" s="1981"/>
      <c r="AP58" s="319"/>
      <c r="AQ58" s="2138"/>
      <c r="AS58" s="506"/>
      <c r="AT58" s="506" t="str">
        <f>IF(V58="","",V58)</f>
        <v>Добавить наименование поставщика</v>
      </c>
      <c r="AU58" s="506"/>
      <c r="AV58" s="506"/>
    </row>
    <row customHeight="1" ht="11.25">
      <c r="A59" s="1296" t="s">
        <v>179</v>
      </c>
      <c r="B59" s="1296" t="s">
        <v>180</v>
      </c>
      <c r="C59" s="1296" t="s">
        <v>181</v>
      </c>
      <c r="D59" s="1296" t="s">
        <v>182</v>
      </c>
      <c r="E59" s="2168"/>
      <c r="F59" s="2168"/>
      <c r="G59" s="2168"/>
      <c r="H59" s="2170"/>
      <c r="I59" s="1955"/>
      <c r="J59" s="1971"/>
      <c r="K59" s="1296"/>
      <c r="L59" s="1296"/>
      <c r="M59" s="1340"/>
      <c r="Q59" s="2111"/>
      <c r="R59" s="2111"/>
      <c r="S59" s="1361"/>
      <c r="T59" s="352"/>
      <c r="U59" s="1308"/>
      <c r="V59" s="275" t="s">
        <v>404</v>
      </c>
      <c r="W59" s="367"/>
      <c r="X59" s="367"/>
      <c r="Y59" s="367"/>
      <c r="Z59" s="367"/>
      <c r="AA59" s="367"/>
      <c r="AB59" s="367"/>
      <c r="AC59" s="1438"/>
      <c r="AD59" s="1438"/>
      <c r="AE59" s="1438"/>
      <c r="AF59" s="1438"/>
      <c r="AG59" s="367"/>
      <c r="AH59" s="367"/>
      <c r="AI59" s="367"/>
      <c r="AJ59" s="367"/>
      <c r="AK59" s="367"/>
      <c r="AL59" s="367"/>
      <c r="AM59" s="367"/>
      <c r="AN59" s="367"/>
      <c r="AO59" s="367"/>
      <c r="AP59" s="319"/>
      <c r="AQ59" s="2139"/>
      <c r="AS59" s="506"/>
      <c r="AT59" s="506" t="str">
        <f>IF(V59="","",V59)</f>
        <v>Добавить вид теплоносителя (параметры теплоносителя)</v>
      </c>
      <c r="AU59" s="506"/>
      <c r="AV59" s="506"/>
    </row>
    <row customHeight="1" ht="11.25">
      <c r="A60" s="1296" t="s">
        <v>179</v>
      </c>
      <c r="B60" s="1296" t="s">
        <v>180</v>
      </c>
      <c r="C60" s="1296" t="s">
        <v>181</v>
      </c>
      <c r="D60" s="1296" t="s">
        <v>182</v>
      </c>
      <c r="E60" s="2168"/>
      <c r="F60" s="2168"/>
      <c r="G60" s="2168"/>
      <c r="H60" s="2170"/>
      <c r="I60" s="1971"/>
      <c r="J60" s="1296"/>
      <c r="K60" s="1296"/>
      <c r="L60" s="1296"/>
      <c r="M60" s="1340"/>
      <c r="Q60" s="2111"/>
      <c r="R60" s="1361"/>
      <c r="S60" s="1361"/>
      <c r="T60" s="352"/>
      <c r="U60" s="1308"/>
      <c r="V60" s="364" t="s">
        <v>405</v>
      </c>
      <c r="W60" s="367"/>
      <c r="X60" s="367"/>
      <c r="Y60" s="367"/>
      <c r="Z60" s="367"/>
      <c r="AA60" s="367"/>
      <c r="AB60" s="367"/>
      <c r="AC60" s="367"/>
      <c r="AD60" s="367"/>
      <c r="AE60" s="367"/>
      <c r="AF60" s="366"/>
      <c r="AG60" s="367"/>
      <c r="AH60" s="367"/>
      <c r="AI60" s="367"/>
      <c r="AJ60" s="367"/>
      <c r="AK60" s="367"/>
      <c r="AL60" s="367"/>
      <c r="AM60" s="367"/>
      <c r="AN60" s="367"/>
      <c r="AO60" s="366"/>
      <c r="AP60" s="367"/>
      <c r="AQ60" s="291"/>
      <c r="AS60" s="506"/>
      <c r="AT60" s="506" t="str">
        <f>IF(V60="","",V60)</f>
        <v>Добавить группу потребителей</v>
      </c>
      <c r="AU60" s="506"/>
      <c r="AV60" s="506"/>
    </row>
    <row customHeight="1" ht="0">
      <c r="A61" s="1296" t="s">
        <v>179</v>
      </c>
      <c r="B61" s="1296" t="s">
        <v>180</v>
      </c>
      <c r="C61" s="1296" t="s">
        <v>181</v>
      </c>
      <c r="D61" s="1296" t="s">
        <v>182</v>
      </c>
      <c r="E61" s="2168"/>
      <c r="F61" s="2168"/>
      <c r="G61" s="2168"/>
      <c r="H61" s="2169"/>
      <c r="I61" s="1296"/>
      <c r="J61" s="1296"/>
      <c r="K61" s="1296"/>
      <c r="L61" s="1296"/>
      <c r="M61" s="1340"/>
      <c r="N61" s="694"/>
      <c r="O61" s="694"/>
      <c r="P61" s="515"/>
      <c r="Q61" s="356"/>
      <c r="R61" s="376"/>
      <c r="S61" s="351"/>
      <c r="T61" s="356"/>
      <c r="U61" s="1416"/>
      <c r="V61" s="1417"/>
      <c r="W61" s="1418"/>
      <c r="X61" s="1418"/>
      <c r="Y61" s="1418"/>
      <c r="Z61" s="1418"/>
      <c r="AA61" s="1418"/>
      <c r="AB61" s="1418"/>
      <c r="AC61" s="1418"/>
      <c r="AD61" s="1418"/>
      <c r="AE61" s="1418"/>
      <c r="AF61" s="1418"/>
      <c r="AG61" s="1418"/>
      <c r="AH61" s="1418"/>
      <c r="AI61" s="1418"/>
      <c r="AJ61" s="1418"/>
      <c r="AK61" s="1418"/>
      <c r="AL61" s="1418"/>
      <c r="AM61" s="1418"/>
      <c r="AN61" s="1418"/>
      <c r="AO61" s="1418"/>
      <c r="AP61" s="1418"/>
      <c r="AQ61" s="1419"/>
      <c r="AS61" s="506"/>
      <c r="AT61" s="506" t="str">
        <f>IF(V61="","",V61)</f>
        <v/>
      </c>
      <c r="AU61" s="506"/>
      <c r="AV61" s="506"/>
    </row>
    <row s="3274" customFormat="1" customHeight="1" ht="0">
      <c r="A62" s="1405" t="s">
        <v>179</v>
      </c>
      <c r="B62" s="1405" t="s">
        <v>180</v>
      </c>
      <c r="C62" s="1405" t="s">
        <v>181</v>
      </c>
      <c r="D62" s="1404"/>
      <c r="E62" s="2168"/>
      <c r="F62" s="2168"/>
      <c r="G62" s="2167"/>
      <c r="H62" s="1404"/>
      <c r="I62" s="1404"/>
      <c r="J62" s="1404"/>
      <c r="K62" s="1404"/>
      <c r="L62" s="1404"/>
      <c r="M62" s="1407"/>
      <c r="N62" s="1408"/>
      <c r="O62" s="1408"/>
      <c r="P62" s="347"/>
      <c r="Q62" s="1346"/>
      <c r="R62" s="1347"/>
      <c r="S62" s="1346"/>
      <c r="T62" s="1346"/>
      <c r="U62" s="1352"/>
      <c r="V62" s="1355" t="s">
        <v>167</v>
      </c>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S62" s="795"/>
      <c r="AT62" s="795" t="str">
        <f>IF(V62="","",V62)</f>
        <v>Добавить источник для дифференциации</v>
      </c>
      <c r="AU62" s="795"/>
      <c r="AV62" s="795"/>
    </row>
    <row s="3274" customFormat="1" customHeight="1" ht="0">
      <c r="A63" s="1405" t="s">
        <v>179</v>
      </c>
      <c r="B63" s="1405" t="s">
        <v>180</v>
      </c>
      <c r="C63" s="1404"/>
      <c r="D63" s="1404"/>
      <c r="E63" s="2168"/>
      <c r="F63" s="2167"/>
      <c r="G63" s="1404"/>
      <c r="H63" s="1404"/>
      <c r="I63" s="1404"/>
      <c r="J63" s="1404"/>
      <c r="K63" s="1404"/>
      <c r="L63" s="1404"/>
      <c r="M63" s="1407"/>
      <c r="N63" s="1409"/>
      <c r="O63" s="1409"/>
      <c r="P63" s="347"/>
      <c r="Q63" s="1346"/>
      <c r="R63" s="1347"/>
      <c r="S63" s="1346"/>
      <c r="T63" s="1346"/>
      <c r="U63" s="1352"/>
      <c r="V63" s="1355" t="s">
        <v>168</v>
      </c>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S63" s="795"/>
      <c r="AT63" s="795" t="str">
        <f>IF(V63="","",V63)</f>
        <v>Добавить централизованную систему для дифференциации</v>
      </c>
      <c r="AU63" s="795"/>
      <c r="AV63" s="795"/>
    </row>
    <row s="2612" customFormat="1" customHeight="1" ht="0">
      <c r="A64" s="1405" t="s">
        <v>179</v>
      </c>
      <c r="B64" s="1405"/>
      <c r="C64" s="1405"/>
      <c r="D64" s="1405"/>
      <c r="E64" s="2167"/>
      <c r="F64" s="1405"/>
      <c r="G64" s="1405"/>
      <c r="H64" s="1405"/>
      <c r="I64" s="1405"/>
      <c r="J64" s="1405"/>
      <c r="K64" s="1405"/>
      <c r="L64" s="1405"/>
      <c r="M64" s="1411"/>
      <c r="N64" s="1409"/>
      <c r="O64" s="1409"/>
      <c r="P64" s="347"/>
      <c r="Q64" s="385"/>
      <c r="R64" s="1374"/>
      <c r="S64" s="385"/>
      <c r="T64" s="385"/>
      <c r="U64" s="1352"/>
      <c r="V64" s="1355" t="s">
        <v>169</v>
      </c>
      <c r="W64" s="1354"/>
      <c r="X64" s="1354"/>
      <c r="Y64" s="1354"/>
      <c r="Z64" s="1354"/>
      <c r="AA64" s="1354"/>
      <c r="AB64" s="1354"/>
      <c r="AC64" s="1354"/>
      <c r="AD64" s="1354"/>
      <c r="AE64" s="1354"/>
      <c r="AF64" s="1354"/>
      <c r="AG64" s="1354"/>
      <c r="AH64" s="1354"/>
      <c r="AI64" s="1354"/>
      <c r="AJ64" s="1354"/>
      <c r="AK64" s="1354"/>
      <c r="AL64" s="1354"/>
      <c r="AM64" s="1354"/>
      <c r="AN64" s="1354"/>
      <c r="AO64" s="1354"/>
      <c r="AP64" s="1354"/>
      <c r="AQ64" s="1354"/>
      <c r="AS64" s="506"/>
      <c r="AT64" s="506" t="str">
        <f>IF(V64="","",V64)</f>
        <v>Добавить территорию для дифференциации</v>
      </c>
      <c r="AU64" s="506"/>
      <c r="AV64" s="506"/>
    </row>
    <row s="3274" customFormat="1" customHeight="1" ht="5.25">
      <c r="A65" s="1404"/>
      <c r="B65" s="1404"/>
      <c r="C65" s="1404"/>
      <c r="D65" s="1404"/>
      <c r="E65" s="1405"/>
      <c r="F65" s="1404"/>
      <c r="G65" s="1404"/>
      <c r="H65" s="1404"/>
      <c r="I65" s="1404"/>
      <c r="J65" s="1404"/>
      <c r="K65" s="1404"/>
      <c r="L65" s="1404"/>
      <c r="M65" s="1407"/>
      <c r="N65" s="1409"/>
      <c r="O65" s="1409"/>
      <c r="P65" s="347"/>
      <c r="Q65" s="1346"/>
      <c r="R65" s="1347"/>
      <c r="S65" s="1346"/>
      <c r="T65" s="1346"/>
      <c r="U65" s="1352"/>
      <c r="V65" s="1355" t="s">
        <v>170</v>
      </c>
      <c r="W65" s="1354"/>
      <c r="X65" s="1354"/>
      <c r="Y65" s="1354"/>
      <c r="Z65" s="1354"/>
      <c r="AA65" s="1354"/>
      <c r="AB65" s="1354"/>
      <c r="AC65" s="1354"/>
      <c r="AD65" s="1354"/>
      <c r="AE65" s="1354"/>
      <c r="AF65" s="1354"/>
      <c r="AG65" s="1354"/>
      <c r="AH65" s="1354"/>
      <c r="AI65" s="1354"/>
      <c r="AJ65" s="1354"/>
      <c r="AK65" s="1354"/>
      <c r="AL65" s="1354"/>
      <c r="AM65" s="1354"/>
      <c r="AN65" s="1354"/>
      <c r="AO65" s="1354"/>
      <c r="AP65" s="1354"/>
      <c r="AQ65" s="1354"/>
      <c r="AS65" s="795"/>
      <c r="AT65" s="795" t="str">
        <f>IF(V65="","",V65)</f>
        <v>Добавить наименование тарифа</v>
      </c>
      <c r="AU65" s="795"/>
      <c r="AV65" s="795"/>
    </row>
    <row customHeight="1" ht="11.25">
      <c r="N66" s="1163"/>
      <c r="O66" s="1163"/>
      <c r="P66" s="515"/>
      <c r="Q66" s="1163"/>
      <c r="R66" s="1163"/>
      <c r="S66" s="1163"/>
      <c r="T66" s="1163"/>
      <c r="U66" s="1163"/>
      <c r="AR66" s="1163"/>
      <c r="AS66" s="1163"/>
      <c r="AT66" s="1163"/>
      <c r="AU66" s="1163"/>
      <c r="AV66" s="1163"/>
    </row>
    <row customHeight="1" ht="33.75">
      <c r="P67" s="515"/>
      <c r="U67" s="1273"/>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row>
    <row customHeight="1" ht="19.5">
      <c r="P68" s="515"/>
      <c r="V68" s="2106"/>
      <c r="W68" s="2106"/>
      <c r="X68" s="2106"/>
      <c r="Y68" s="2106"/>
      <c r="Z68" s="2106"/>
      <c r="AA68" s="2106"/>
      <c r="AB68" s="2106"/>
      <c r="AC68" s="2106"/>
      <c r="AD68" s="2106"/>
      <c r="AE68" s="2106"/>
      <c r="AF68" s="2106"/>
      <c r="AG68" s="2106"/>
      <c r="AH68" s="2106"/>
      <c r="AI68" s="2106"/>
      <c r="AJ68" s="2106"/>
      <c r="AK68" s="2106"/>
      <c r="AL68" s="2106"/>
      <c r="AM68" s="2106"/>
      <c r="AN68" s="2106"/>
      <c r="AO68" s="2106"/>
      <c r="AP68" s="2106"/>
      <c r="AQ68" s="2106"/>
    </row>
    <row customHeight="1" ht="14.25">
      <c r="P69" s="515"/>
    </row>
    <row customHeight="1" ht="27">
      <c r="P70" s="515"/>
      <c r="V70" s="2106"/>
      <c r="W70" s="2106"/>
      <c r="X70" s="2106"/>
      <c r="Y70" s="2106"/>
      <c r="Z70" s="2106"/>
      <c r="AA70" s="2106"/>
      <c r="AB70" s="2106"/>
      <c r="AC70" s="2106"/>
      <c r="AD70" s="2106"/>
      <c r="AE70" s="2106"/>
      <c r="AF70" s="2106"/>
      <c r="AG70" s="2106"/>
      <c r="AH70" s="2106"/>
      <c r="AI70" s="2106"/>
      <c r="AJ70" s="2106"/>
      <c r="AK70" s="2106"/>
      <c r="AL70" s="2106"/>
      <c r="AM70" s="2106"/>
      <c r="AN70" s="2106"/>
      <c r="AO70" s="2106"/>
      <c r="AP70" s="2106"/>
      <c r="AQ70" s="2106"/>
    </row>
    <row customHeight="1" ht="18">
      <c r="P71" s="515"/>
      <c r="V71" s="2106"/>
      <c r="W71" s="2106"/>
      <c r="X71" s="2106"/>
      <c r="Y71" s="2106"/>
      <c r="Z71" s="2106"/>
      <c r="AA71" s="2106"/>
      <c r="AB71" s="2106"/>
      <c r="AC71" s="2106"/>
      <c r="AD71" s="2106"/>
      <c r="AE71" s="2106"/>
      <c r="AF71" s="2106"/>
      <c r="AG71" s="2106"/>
      <c r="AH71" s="2106"/>
      <c r="AI71" s="2106"/>
      <c r="AJ71" s="2106"/>
      <c r="AK71" s="2106"/>
      <c r="AL71" s="2106"/>
      <c r="AM71" s="2106"/>
      <c r="AN71" s="2106"/>
      <c r="AO71" s="2106"/>
      <c r="AP71" s="2106"/>
      <c r="AQ71" s="2106"/>
    </row>
  </sheetData>
  <sheetProtection formatColumns="0" formatRows="0" autoFilter="0" sort="0" insertRows="0" insertColumns="1" deleteRows="0" deleteColumns="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2BC96A-10E8-EC08-BF43-F61CAB9C2C98}" mc:Ignorable="x14ac xr xr2 xr3">
  <sheetPr>
    <tabColor theme="6" tint="0.4"/>
  </sheetPr>
  <dimension ref="A1:AZ69"/>
  <sheetViews>
    <sheetView topLeftCell="A1" showGridLines="0" zoomScale="90" workbookViewId="0">
      <selection activeCell="A1" sqref="A1"/>
    </sheetView>
  </sheetViews>
  <sheetFormatPr defaultColWidth="10.57421875" customHeight="1" defaultRowHeight="14.25"/>
  <cols>
    <col min="1" max="1" style="3293" width="10.57421875" hidden="1"/>
    <col min="2" max="2" style="3293" width="11.00390625" hidden="1" customWidth="1"/>
    <col min="3" max="3" style="3293" width="10.57421875" hidden="1"/>
    <col min="4" max="4" style="3293" width="11.8515625" hidden="1" customWidth="1"/>
    <col min="5" max="5" style="3293" width="10.00390625" hidden="1" customWidth="1"/>
    <col min="6" max="6" style="3293" width="8.7109375" hidden="1" customWidth="1"/>
    <col min="7" max="7" style="3293" width="7.57421875" hidden="1" customWidth="1"/>
    <col min="8" max="8" style="3293" width="11.421875" hidden="1" customWidth="1"/>
    <col min="9" max="9" style="3293" width="12.00390625" hidden="1" customWidth="1"/>
    <col min="10" max="10" style="3293" width="9.8515625" hidden="1" customWidth="1"/>
    <col min="11" max="11" style="3293" width="11.421875" hidden="1" customWidth="1"/>
    <col min="12" max="12" style="3294" width="19.140625" hidden="1" customWidth="1"/>
    <col min="13" max="14" style="3295" width="12.28125" hidden="1" customWidth="1"/>
    <col min="15" max="15" style="3295" width="23.421875" hidden="1" customWidth="1"/>
    <col min="16" max="16" style="3295" width="3.7109375" hidden="1" customWidth="1"/>
    <col min="17" max="17" style="3297" width="3.7109375" hidden="1" customWidth="1"/>
    <col min="18" max="18" style="3372" width="3.7109375" customWidth="1"/>
    <col min="19" max="19" style="3373" width="12.7109375" customWidth="1"/>
    <col min="20" max="20" style="2941" width="32.00390625" customWidth="1"/>
    <col min="21" max="21" style="2941" width="0.140625" customWidth="1"/>
    <col min="22" max="23" style="2941" width="21.7109375" hidden="1" customWidth="1"/>
    <col min="24" max="24" style="2941" width="11.7109375" hidden="1" customWidth="1"/>
    <col min="25" max="25" style="2941" width="3.7109375" hidden="1" customWidth="1"/>
    <col min="26" max="26" style="2941" width="11.7109375" hidden="1" customWidth="1"/>
    <col min="27" max="27" style="2941" width="8.57421875" hidden="1" customWidth="1"/>
    <col min="28" max="28" style="2941" width="5.421875" customWidth="1"/>
    <col min="29" max="30" style="2941" width="3.7109375" customWidth="1"/>
    <col min="31" max="31" style="2941" width="24.7109375" customWidth="1"/>
    <col min="32" max="34" style="2941" width="3.7109375" customWidth="1"/>
    <col min="35" max="35" style="2941" width="24.7109375" customWidth="1"/>
    <col min="36" max="38" style="2941" width="3.7109375" customWidth="1"/>
    <col min="39" max="39" style="2941" width="18.8515625" customWidth="1"/>
    <col min="40" max="41" style="2941" width="21.7109375" customWidth="1"/>
    <col min="42" max="42" style="2941" width="11.7109375" customWidth="1"/>
    <col min="43" max="43" style="2941" width="3.7109375" customWidth="1"/>
    <col min="44" max="44" style="2941" width="11.7109375" customWidth="1"/>
    <col min="45" max="45" style="2941" width="8.57421875" customWidth="1"/>
    <col min="46" max="46" style="2941" width="4.7109375" customWidth="1"/>
    <col min="47" max="47" style="2941" width="115.7109375" customWidth="1"/>
    <col min="48" max="49" style="2612" width="10.57421875"/>
    <col min="50" max="50" style="2612" width="11.140625" customWidth="1"/>
    <col min="51" max="52" style="2612" width="10.57421875"/>
  </cols>
  <sheetData>
    <row customHeight="1" ht="14.25" hidden="1">
      <c r="W1" s="323"/>
      <c r="X1" s="323"/>
      <c r="AO1" s="323"/>
      <c r="AP1" s="323"/>
    </row>
    <row customHeight="1" ht="21" hidden="1">
      <c r="A2" s="1393"/>
      <c r="B2" s="1393"/>
      <c r="C2" s="1393"/>
      <c r="D2" s="1393"/>
      <c r="E2" s="2107">
        <v>1</v>
      </c>
      <c r="F2" s="1393"/>
      <c r="G2" s="1393"/>
      <c r="H2" s="1393"/>
      <c r="I2" s="1393"/>
      <c r="J2" s="1393"/>
      <c r="K2" s="1393"/>
      <c r="L2" s="1394"/>
      <c r="M2" s="1395"/>
      <c r="N2" s="1395"/>
      <c r="O2" s="1395"/>
      <c r="P2" s="1439"/>
      <c r="Q2" s="879"/>
      <c r="R2" s="351"/>
      <c r="S2" s="1366">
        <f>INDEX(PT_DIFFERENTIATION_NUM_NTAR,MATCH(A2,PT_DIFFERENTIATION_NTAR_ID,0))</f>
      </c>
      <c r="T2" s="286" t="s">
        <v>122</v>
      </c>
      <c r="U2" s="288"/>
      <c r="V2" s="2102"/>
      <c r="W2" s="2102"/>
      <c r="X2" s="2102"/>
      <c r="Y2" s="2102"/>
      <c r="Z2" s="2102"/>
      <c r="AA2" s="2103"/>
      <c r="AB2" s="2101">
        <f>INDEX(PT_DIFFERENTIATION_NTAR,MATCH(A2,PT_DIFFERENTIATION_NTAR_ID,0))</f>
      </c>
      <c r="AC2" s="2102"/>
      <c r="AD2" s="2102"/>
      <c r="AE2" s="2102"/>
      <c r="AF2" s="2102"/>
      <c r="AG2" s="2102"/>
      <c r="AH2" s="2102"/>
      <c r="AI2" s="2102"/>
      <c r="AJ2" s="2102"/>
      <c r="AK2" s="2102"/>
      <c r="AL2" s="2102"/>
      <c r="AM2" s="2102"/>
      <c r="AN2" s="2102"/>
      <c r="AO2" s="2102"/>
      <c r="AP2" s="2102"/>
      <c r="AQ2" s="2102"/>
      <c r="AR2" s="2102"/>
      <c r="AS2" s="2102"/>
      <c r="AT2" s="2103"/>
      <c r="AU2" s="1286" t="s">
        <v>389</v>
      </c>
      <c r="AW2" s="506"/>
      <c r="AX2" s="506" t="str">
        <f>IF(T2="","",T2)</f>
        <v>Наименование тарифа</v>
      </c>
      <c r="AY2" s="506"/>
      <c r="AZ2" s="506"/>
    </row>
    <row customHeight="1" ht="21" hidden="1">
      <c r="A3" s="1393"/>
      <c r="B3" s="1393"/>
      <c r="C3" s="1393"/>
      <c r="D3" s="1393"/>
      <c r="E3" s="2108"/>
      <c r="F3" s="2107">
        <v>1</v>
      </c>
      <c r="G3" s="1393"/>
      <c r="H3" s="1393"/>
      <c r="I3" s="1393"/>
      <c r="J3" s="1393"/>
      <c r="K3" s="1393"/>
      <c r="L3" s="1394"/>
      <c r="M3" s="1395"/>
      <c r="N3" s="1395"/>
      <c r="O3" s="1395"/>
      <c r="P3" s="1440"/>
      <c r="Q3" s="1441"/>
      <c r="R3" s="349"/>
      <c r="S3" s="1366">
        <f>INDEX(PT_DIFFERENTIATION_NUM_TER,MATCH(B3,PT_DIFFERENTIATION_TER_ID,0))</f>
      </c>
      <c r="T3" s="298" t="s">
        <v>390</v>
      </c>
      <c r="U3" s="288"/>
      <c r="V3" s="2102"/>
      <c r="W3" s="2102"/>
      <c r="X3" s="2102"/>
      <c r="Y3" s="2102"/>
      <c r="Z3" s="2102"/>
      <c r="AA3" s="2103"/>
      <c r="AB3" s="2101">
        <f>INDEX(PT_DIFFERENTIATION_TER,MATCH(B3,PT_DIFFERENTIATION_TER_ID,0))</f>
      </c>
      <c r="AC3" s="2102"/>
      <c r="AD3" s="2102"/>
      <c r="AE3" s="2102"/>
      <c r="AF3" s="2102"/>
      <c r="AG3" s="2102"/>
      <c r="AH3" s="2102"/>
      <c r="AI3" s="2102"/>
      <c r="AJ3" s="2102"/>
      <c r="AK3" s="2102"/>
      <c r="AL3" s="2102"/>
      <c r="AM3" s="2102"/>
      <c r="AN3" s="2102"/>
      <c r="AO3" s="2102"/>
      <c r="AP3" s="2102"/>
      <c r="AQ3" s="2102"/>
      <c r="AR3" s="2102"/>
      <c r="AS3" s="2102"/>
      <c r="AT3" s="2103"/>
      <c r="AU3" s="1286" t="s">
        <v>391</v>
      </c>
      <c r="AW3" s="506"/>
      <c r="AX3" s="506" t="str">
        <f>IF(T3="","",T3)</f>
        <v>Территория действия тарифа</v>
      </c>
      <c r="AY3" s="506"/>
      <c r="AZ3" s="506"/>
    </row>
    <row customHeight="1" ht="22.5" hidden="1">
      <c r="A4" s="1393"/>
      <c r="B4" s="1393"/>
      <c r="C4" s="1393"/>
      <c r="D4" s="1393"/>
      <c r="E4" s="2108"/>
      <c r="F4" s="2108"/>
      <c r="G4" s="2107">
        <v>1</v>
      </c>
      <c r="H4" s="1393"/>
      <c r="I4" s="1393"/>
      <c r="J4" s="1393"/>
      <c r="K4" s="1393"/>
      <c r="L4" s="1394"/>
      <c r="M4" s="1395"/>
      <c r="N4" s="1395"/>
      <c r="O4" s="1395"/>
      <c r="P4" s="1442"/>
      <c r="Q4" s="1441"/>
      <c r="R4" s="349"/>
      <c r="S4" s="1366">
        <f>INDEX(PT_DIFFERENTIATION_NUM_CS,MATCH(C4,PT_DIFFERENTIATION_CS_ID,0))</f>
      </c>
      <c r="T4" s="299" t="s">
        <v>392</v>
      </c>
      <c r="U4" s="288"/>
      <c r="V4" s="2102"/>
      <c r="W4" s="2102"/>
      <c r="X4" s="2102"/>
      <c r="Y4" s="2102"/>
      <c r="Z4" s="2102"/>
      <c r="AA4" s="2103"/>
      <c r="AB4" s="2101">
        <f>INDEX(PT_DIFFERENTIATION_CS,MATCH(C4,PT_DIFFERENTIATION_CS_ID,0))</f>
      </c>
      <c r="AC4" s="2102"/>
      <c r="AD4" s="2102"/>
      <c r="AE4" s="2102"/>
      <c r="AF4" s="2102"/>
      <c r="AG4" s="2102"/>
      <c r="AH4" s="2102"/>
      <c r="AI4" s="2102"/>
      <c r="AJ4" s="2102"/>
      <c r="AK4" s="2102"/>
      <c r="AL4" s="2102"/>
      <c r="AM4" s="2102"/>
      <c r="AN4" s="2102"/>
      <c r="AO4" s="2102"/>
      <c r="AP4" s="2102"/>
      <c r="AQ4" s="2102"/>
      <c r="AR4" s="2102"/>
      <c r="AS4" s="2102"/>
      <c r="AT4" s="2103"/>
      <c r="AU4" s="1286" t="s">
        <v>393</v>
      </c>
      <c r="AW4" s="506"/>
      <c r="AX4" s="506" t="str">
        <f>IF(T4="","",T4)</f>
        <v>Наименование системы теплоснабжения </v>
      </c>
      <c r="AY4" s="506"/>
      <c r="AZ4" s="506"/>
    </row>
    <row customHeight="1" ht="21" hidden="1">
      <c r="A5" s="1393"/>
      <c r="B5" s="1393"/>
      <c r="C5" s="1393"/>
      <c r="D5" s="1393"/>
      <c r="E5" s="2108"/>
      <c r="F5" s="2108"/>
      <c r="G5" s="2108"/>
      <c r="H5" s="2107">
        <v>1</v>
      </c>
      <c r="I5" s="1393"/>
      <c r="J5" s="1393"/>
      <c r="K5" s="1393"/>
      <c r="L5" s="1394"/>
      <c r="M5" s="1395"/>
      <c r="N5" s="1395"/>
      <c r="O5" s="1395"/>
      <c r="P5" s="1442"/>
      <c r="Q5" s="1441"/>
      <c r="R5" s="349"/>
      <c r="S5" s="1366">
        <f>INDEX(PT_DIFFERENTIATION_NUM_IST_TE,MATCH(D5,PT_DIFFERENTIATION_IST_TE_ID,0))</f>
      </c>
      <c r="T5" s="300" t="s">
        <v>394</v>
      </c>
      <c r="U5" s="288"/>
      <c r="V5" s="2102"/>
      <c r="W5" s="2102"/>
      <c r="X5" s="2102"/>
      <c r="Y5" s="2102"/>
      <c r="Z5" s="2102"/>
      <c r="AA5" s="2103"/>
      <c r="AB5" s="2101">
        <f>INDEX(PT_DIFFERENTIATION_IST_TE,MATCH(D5,PT_DIFFERENTIATION_IST_TE_ID,0))</f>
      </c>
      <c r="AC5" s="2102"/>
      <c r="AD5" s="2102"/>
      <c r="AE5" s="2102"/>
      <c r="AF5" s="2102"/>
      <c r="AG5" s="2102"/>
      <c r="AH5" s="2102"/>
      <c r="AI5" s="2102"/>
      <c r="AJ5" s="2102"/>
      <c r="AK5" s="2102"/>
      <c r="AL5" s="2102"/>
      <c r="AM5" s="2102"/>
      <c r="AN5" s="2102"/>
      <c r="AO5" s="2102"/>
      <c r="AP5" s="2102"/>
      <c r="AQ5" s="2102"/>
      <c r="AR5" s="2102"/>
      <c r="AS5" s="2102"/>
      <c r="AT5" s="2103"/>
      <c r="AU5" s="1286" t="s">
        <v>395</v>
      </c>
      <c r="AW5" s="506"/>
      <c r="AX5" s="506" t="str">
        <f>IF(T5="","",T5)</f>
        <v>Источник тепловой энергии  </v>
      </c>
      <c r="AY5" s="506"/>
      <c r="AZ5" s="506"/>
    </row>
    <row s="2612" customFormat="1" customHeight="1" ht="14.25" hidden="1">
      <c r="A6" s="1373"/>
      <c r="B6" s="1373"/>
      <c r="C6" s="1373"/>
      <c r="D6" s="1373"/>
      <c r="E6" s="2108"/>
      <c r="F6" s="2108"/>
      <c r="G6" s="2108"/>
      <c r="H6" s="2108"/>
      <c r="I6" s="2109">
        <f>S5&amp;".1"</f>
      </c>
      <c r="J6" s="1373"/>
      <c r="K6" s="1373"/>
      <c r="L6" s="1376" t="s">
        <v>396</v>
      </c>
      <c r="M6" s="516"/>
      <c r="N6" s="516"/>
      <c r="O6" s="516"/>
      <c r="P6" s="2111">
        <v>1</v>
      </c>
      <c r="Q6" s="1361"/>
      <c r="R6" s="352"/>
      <c r="S6" s="1049"/>
      <c r="T6" s="1413"/>
      <c r="U6" s="1414"/>
      <c r="V6" s="2148"/>
      <c r="W6" s="2148"/>
      <c r="X6" s="2148"/>
      <c r="Y6" s="2148"/>
      <c r="Z6" s="2148"/>
      <c r="AA6" s="2149"/>
      <c r="AB6" s="2147"/>
      <c r="AC6" s="2148"/>
      <c r="AD6" s="2148"/>
      <c r="AE6" s="2148"/>
      <c r="AF6" s="2148"/>
      <c r="AG6" s="2148"/>
      <c r="AH6" s="2148"/>
      <c r="AI6" s="2148"/>
      <c r="AJ6" s="2148"/>
      <c r="AK6" s="2148"/>
      <c r="AL6" s="2148"/>
      <c r="AM6" s="2148"/>
      <c r="AN6" s="2148"/>
      <c r="AO6" s="2148"/>
      <c r="AP6" s="2148"/>
      <c r="AQ6" s="2148"/>
      <c r="AR6" s="2148"/>
      <c r="AS6" s="2148"/>
      <c r="AT6" s="2149"/>
      <c r="AU6" s="1415"/>
      <c r="AW6" s="506"/>
      <c r="AX6" s="506" t="str">
        <f>IF(T6="","",T6)</f>
        <v/>
      </c>
      <c r="AY6" s="506"/>
      <c r="AZ6" s="506"/>
    </row>
    <row s="2612" customFormat="1" customHeight="1" ht="14.25" hidden="1">
      <c r="A7" s="1373"/>
      <c r="B7" s="1373"/>
      <c r="C7" s="1373"/>
      <c r="D7" s="1373"/>
      <c r="E7" s="2108"/>
      <c r="F7" s="2108"/>
      <c r="G7" s="2108"/>
      <c r="H7" s="2108"/>
      <c r="I7" s="2110"/>
      <c r="J7" s="2109">
        <f>S5&amp;".1"</f>
      </c>
      <c r="K7" s="1373"/>
      <c r="L7" s="1376"/>
      <c r="M7" s="516"/>
      <c r="N7" s="516"/>
      <c r="O7" s="516"/>
      <c r="P7" s="2111"/>
      <c r="Q7" s="2111">
        <v>1</v>
      </c>
      <c r="R7" s="353"/>
      <c r="S7" s="1049"/>
      <c r="T7" s="1429"/>
      <c r="U7" s="1414"/>
      <c r="V7" s="2148"/>
      <c r="W7" s="2148"/>
      <c r="X7" s="2148"/>
      <c r="Y7" s="2148"/>
      <c r="Z7" s="2148"/>
      <c r="AA7" s="2149"/>
      <c r="AB7" s="2147"/>
      <c r="AC7" s="2148"/>
      <c r="AD7" s="2148"/>
      <c r="AE7" s="2148"/>
      <c r="AF7" s="2148"/>
      <c r="AG7" s="2148"/>
      <c r="AH7" s="2148"/>
      <c r="AI7" s="2148"/>
      <c r="AJ7" s="2148"/>
      <c r="AK7" s="2148"/>
      <c r="AL7" s="2148"/>
      <c r="AM7" s="2148"/>
      <c r="AN7" s="2148"/>
      <c r="AO7" s="2148"/>
      <c r="AP7" s="2148"/>
      <c r="AQ7" s="2148"/>
      <c r="AR7" s="2148"/>
      <c r="AS7" s="2148"/>
      <c r="AT7" s="2149"/>
      <c r="AU7" s="1415"/>
      <c r="AW7" s="506"/>
      <c r="AX7" s="506" t="str">
        <f>IF(T7="","",T7)</f>
        <v/>
      </c>
      <c r="AY7" s="506"/>
      <c r="AZ7" s="506"/>
    </row>
    <row customHeight="1" ht="21" hidden="1">
      <c r="A8" s="1393"/>
      <c r="B8" s="1393"/>
      <c r="C8" s="1393"/>
      <c r="D8" s="1393"/>
      <c r="E8" s="2108"/>
      <c r="F8" s="2108"/>
      <c r="G8" s="2108"/>
      <c r="H8" s="2108"/>
      <c r="I8" s="2110"/>
      <c r="J8" s="2110"/>
      <c r="K8" s="2109">
        <f>S5&amp;".1"</f>
      </c>
      <c r="L8" s="1394"/>
      <c r="P8" s="2111"/>
      <c r="Q8" s="2111"/>
      <c r="R8" s="2187">
        <v>1</v>
      </c>
      <c r="S8" s="2184">
        <f>$K8</f>
      </c>
      <c r="T8" s="2181"/>
      <c r="U8" s="288"/>
      <c r="V8" s="757"/>
      <c r="W8" s="1285"/>
      <c r="X8" s="2112"/>
      <c r="Y8" s="1981" t="s">
        <v>61</v>
      </c>
      <c r="Z8" s="2112"/>
      <c r="AA8" s="1981" t="s">
        <v>61</v>
      </c>
      <c r="AB8" s="1981" t="s">
        <v>56</v>
      </c>
      <c r="AC8" s="2180"/>
      <c r="AD8" s="2057">
        <v>1</v>
      </c>
      <c r="AE8" s="2193"/>
      <c r="AF8" s="1981" t="s">
        <v>56</v>
      </c>
      <c r="AG8" s="2180"/>
      <c r="AH8" s="2057">
        <v>1</v>
      </c>
      <c r="AI8" s="2193"/>
      <c r="AJ8" s="1981" t="s">
        <v>56</v>
      </c>
      <c r="AK8" s="301"/>
      <c r="AL8" s="1367">
        <v>1</v>
      </c>
      <c r="AM8" s="1428"/>
      <c r="AN8" s="757"/>
      <c r="AO8" s="1285"/>
      <c r="AP8" s="1774"/>
      <c r="AQ8" s="1489" t="s">
        <v>61</v>
      </c>
      <c r="AR8" s="1774"/>
      <c r="AS8" s="1489" t="s">
        <v>61</v>
      </c>
      <c r="AT8" s="1378"/>
      <c r="AU8" s="2137" t="s">
        <v>458</v>
      </c>
      <c r="AV8" s="517">
        <f>STRCHECKDATE(V11:AT11)</f>
      </c>
      <c r="AW8" s="506"/>
      <c r="AX8" s="506" t="str">
        <f>IF(T8="","",T8)</f>
        <v/>
      </c>
      <c r="AY8" s="506"/>
      <c r="AZ8" s="506"/>
    </row>
    <row customHeight="1" ht="11.25" hidden="1">
      <c r="A9" s="1393"/>
      <c r="B9" s="1393"/>
      <c r="C9" s="1393"/>
      <c r="D9" s="1393"/>
      <c r="E9" s="2108"/>
      <c r="F9" s="2108"/>
      <c r="G9" s="2108"/>
      <c r="H9" s="2108"/>
      <c r="I9" s="2110"/>
      <c r="J9" s="2110"/>
      <c r="K9" s="2109"/>
      <c r="L9" s="1394"/>
      <c r="P9" s="2111"/>
      <c r="Q9" s="2111"/>
      <c r="R9" s="2187"/>
      <c r="S9" s="2185"/>
      <c r="T9" s="2182"/>
      <c r="U9" s="288"/>
      <c r="V9" s="1423"/>
      <c r="W9" s="1427"/>
      <c r="X9" s="2112"/>
      <c r="Y9" s="1981"/>
      <c r="Z9" s="2112"/>
      <c r="AA9" s="1981"/>
      <c r="AB9" s="1981"/>
      <c r="AC9" s="2180"/>
      <c r="AD9" s="2057"/>
      <c r="AE9" s="2193"/>
      <c r="AF9" s="1981"/>
      <c r="AG9" s="2180"/>
      <c r="AH9" s="2057"/>
      <c r="AI9" s="2193"/>
      <c r="AJ9" s="1981"/>
      <c r="AK9" s="308"/>
      <c r="AL9" s="422"/>
      <c r="AM9" s="421" t="s">
        <v>459</v>
      </c>
      <c r="AN9" s="1423"/>
      <c r="AO9" s="1526"/>
      <c r="AP9" s="1423"/>
      <c r="AQ9" s="1423"/>
      <c r="AR9" s="1423"/>
      <c r="AS9" s="1423"/>
      <c r="AT9" s="1420"/>
      <c r="AU9" s="2138"/>
      <c r="AW9" s="506"/>
      <c r="AX9" s="506"/>
      <c r="AY9" s="506"/>
      <c r="AZ9" s="506"/>
    </row>
    <row customHeight="1" ht="11.25" hidden="1">
      <c r="A10" s="1393"/>
      <c r="B10" s="1393"/>
      <c r="C10" s="1393"/>
      <c r="D10" s="1393"/>
      <c r="E10" s="2108"/>
      <c r="F10" s="2108"/>
      <c r="G10" s="2108"/>
      <c r="H10" s="2108"/>
      <c r="I10" s="2110"/>
      <c r="J10" s="2110"/>
      <c r="K10" s="2109"/>
      <c r="L10" s="1394"/>
      <c r="P10" s="2111"/>
      <c r="Q10" s="2111"/>
      <c r="R10" s="2187"/>
      <c r="S10" s="2185"/>
      <c r="T10" s="2182"/>
      <c r="U10" s="288"/>
      <c r="V10" s="1423"/>
      <c r="W10" s="1427"/>
      <c r="X10" s="2112"/>
      <c r="Y10" s="1981"/>
      <c r="Z10" s="2112"/>
      <c r="AA10" s="1981"/>
      <c r="AB10" s="1981"/>
      <c r="AC10" s="2180"/>
      <c r="AD10" s="2057"/>
      <c r="AE10" s="2193"/>
      <c r="AF10" s="1981"/>
      <c r="AG10" s="282"/>
      <c r="AH10" s="421"/>
      <c r="AI10" s="421" t="s">
        <v>460</v>
      </c>
      <c r="AJ10" s="1423"/>
      <c r="AK10" s="1423"/>
      <c r="AL10" s="1423"/>
      <c r="AM10" s="1423"/>
      <c r="AN10" s="1423"/>
      <c r="AO10" s="1526"/>
      <c r="AP10" s="1423"/>
      <c r="AQ10" s="1423"/>
      <c r="AR10" s="1423"/>
      <c r="AS10" s="1423"/>
      <c r="AT10" s="1420"/>
      <c r="AU10" s="2138"/>
      <c r="AW10" s="506"/>
      <c r="AX10" s="506"/>
      <c r="AY10" s="506"/>
      <c r="AZ10" s="506"/>
    </row>
    <row customHeight="1" ht="11.25" hidden="1">
      <c r="A11" s="1393"/>
      <c r="B11" s="1393"/>
      <c r="C11" s="1393"/>
      <c r="D11" s="1393"/>
      <c r="E11" s="2108"/>
      <c r="F11" s="2108"/>
      <c r="G11" s="2108"/>
      <c r="H11" s="2108"/>
      <c r="I11" s="2110"/>
      <c r="J11" s="2110"/>
      <c r="K11" s="2109"/>
      <c r="L11" s="1394"/>
      <c r="P11" s="2111"/>
      <c r="Q11" s="2111"/>
      <c r="R11" s="2187"/>
      <c r="S11" s="2186"/>
      <c r="T11" s="2183"/>
      <c r="U11" s="288"/>
      <c r="V11" s="1423"/>
      <c r="W11" s="1426" t="str">
        <f>X8&amp;"-"&amp;Z8</f>
        <v>-</v>
      </c>
      <c r="X11" s="2113"/>
      <c r="Y11" s="1981"/>
      <c r="Z11" s="2113"/>
      <c r="AA11" s="1981"/>
      <c r="AB11" s="1981"/>
      <c r="AC11" s="302"/>
      <c r="AD11" s="304"/>
      <c r="AE11" s="421" t="s">
        <v>461</v>
      </c>
      <c r="AF11" s="1423"/>
      <c r="AG11" s="1423"/>
      <c r="AH11" s="1423"/>
      <c r="AI11" s="1423"/>
      <c r="AJ11" s="1423"/>
      <c r="AK11" s="1423"/>
      <c r="AL11" s="1423"/>
      <c r="AM11" s="1423"/>
      <c r="AN11" s="1423"/>
      <c r="AO11" s="1424" t="str">
        <f>AP8&amp;"-"&amp;AR8</f>
        <v>-</v>
      </c>
      <c r="AP11" s="1423"/>
      <c r="AQ11" s="1423"/>
      <c r="AR11" s="1423"/>
      <c r="AS11" s="1423"/>
      <c r="AT11" s="1379"/>
      <c r="AU11" s="2138"/>
      <c r="AW11" s="506"/>
      <c r="AX11" s="506" t="str">
        <f>IF(T11="","",T11)</f>
        <v/>
      </c>
      <c r="AY11" s="506"/>
      <c r="AZ11" s="506"/>
    </row>
    <row customHeight="1" ht="11.25" hidden="1">
      <c r="A12" s="1393"/>
      <c r="B12" s="1393"/>
      <c r="C12" s="1393"/>
      <c r="D12" s="1393"/>
      <c r="E12" s="2108"/>
      <c r="F12" s="2108"/>
      <c r="G12" s="2108"/>
      <c r="H12" s="2108"/>
      <c r="I12" s="2110"/>
      <c r="J12" s="2109"/>
      <c r="K12" s="1393"/>
      <c r="L12" s="1394"/>
      <c r="P12" s="2111"/>
      <c r="Q12" s="2111"/>
      <c r="R12" s="352"/>
      <c r="S12" s="1308"/>
      <c r="T12" s="275" t="s">
        <v>462</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19"/>
      <c r="AU12" s="2139"/>
      <c r="AW12" s="506"/>
      <c r="AX12" s="506" t="str">
        <f>IF(T12="","",T12)</f>
        <v>Добавить строку</v>
      </c>
      <c r="AY12" s="506"/>
      <c r="AZ12" s="506"/>
    </row>
    <row s="2612" customFormat="1" customHeight="1" ht="14.25" hidden="1">
      <c r="A13" s="1373"/>
      <c r="B13" s="1373"/>
      <c r="C13" s="1373"/>
      <c r="D13" s="1373"/>
      <c r="E13" s="2108"/>
      <c r="F13" s="2108"/>
      <c r="G13" s="2108"/>
      <c r="H13" s="2108"/>
      <c r="I13" s="2109"/>
      <c r="J13" s="1373"/>
      <c r="K13" s="1373"/>
      <c r="L13" s="1376"/>
      <c r="M13" s="516"/>
      <c r="N13" s="516"/>
      <c r="O13" s="516"/>
      <c r="P13" s="2111"/>
      <c r="Q13" s="1361"/>
      <c r="R13" s="352"/>
      <c r="S13" s="1416"/>
      <c r="T13" s="1417"/>
      <c r="U13" s="1418"/>
      <c r="V13" s="1418"/>
      <c r="W13" s="1418"/>
      <c r="X13" s="1418"/>
      <c r="Y13" s="1418"/>
      <c r="Z13" s="1418"/>
      <c r="AA13" s="1418"/>
      <c r="AB13" s="1418"/>
      <c r="AC13" s="1418"/>
      <c r="AD13" s="1418"/>
      <c r="AE13" s="1418"/>
      <c r="AF13" s="1418"/>
      <c r="AG13" s="1418"/>
      <c r="AH13" s="1418"/>
      <c r="AI13" s="1418"/>
      <c r="AJ13" s="1418"/>
      <c r="AK13" s="1418"/>
      <c r="AL13" s="1418"/>
      <c r="AM13" s="1418"/>
      <c r="AN13" s="1418"/>
      <c r="AO13" s="1418"/>
      <c r="AP13" s="1418"/>
      <c r="AQ13" s="1418"/>
      <c r="AR13" s="1418"/>
      <c r="AS13" s="1418"/>
      <c r="AT13" s="1418"/>
      <c r="AU13" s="1419"/>
      <c r="AW13" s="506"/>
      <c r="AX13" s="506" t="str">
        <f>IF(T13="","",T13)</f>
        <v/>
      </c>
      <c r="AY13" s="506"/>
      <c r="AZ13" s="506"/>
    </row>
    <row s="2612" customFormat="1" customHeight="1" ht="14.25" hidden="1">
      <c r="A14" s="1373"/>
      <c r="B14" s="1373"/>
      <c r="C14" s="1373"/>
      <c r="D14" s="1373"/>
      <c r="E14" s="2108"/>
      <c r="F14" s="2108"/>
      <c r="G14" s="2108"/>
      <c r="H14" s="2107"/>
      <c r="I14" s="1373"/>
      <c r="J14" s="1373"/>
      <c r="K14" s="1373"/>
      <c r="L14" s="1376"/>
      <c r="M14" s="1345"/>
      <c r="N14" s="1345"/>
      <c r="O14" s="524"/>
      <c r="P14" s="385"/>
      <c r="Q14" s="1374"/>
      <c r="R14" s="1431"/>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9"/>
      <c r="AW14" s="506"/>
      <c r="AX14" s="506" t="str">
        <f>IF(T14="","",T14)</f>
        <v/>
      </c>
      <c r="AY14" s="506"/>
      <c r="AZ14" s="506"/>
    </row>
    <row s="3274" customFormat="1" customHeight="1" ht="14.25" hidden="1">
      <c r="A15" s="1373"/>
      <c r="B15" s="1373"/>
      <c r="C15" s="1373"/>
      <c r="D15" s="1344"/>
      <c r="E15" s="2108"/>
      <c r="F15" s="2108"/>
      <c r="G15" s="2107"/>
      <c r="H15" s="1344"/>
      <c r="I15" s="1344"/>
      <c r="J15" s="1344"/>
      <c r="K15" s="1344"/>
      <c r="L15" s="1369"/>
      <c r="M15" s="1345"/>
      <c r="N15" s="1345"/>
      <c r="P15" s="1346"/>
      <c r="Q15" s="1347"/>
      <c r="R15" s="1346"/>
      <c r="S15" s="1352"/>
      <c r="T15" s="1355" t="s">
        <v>167</v>
      </c>
      <c r="U15" s="1354"/>
      <c r="V15" s="1354"/>
      <c r="W15" s="1354"/>
      <c r="X15" s="1354"/>
      <c r="Y15" s="1354"/>
      <c r="Z15" s="1354"/>
      <c r="AA15" s="1354"/>
      <c r="AB15" s="1354"/>
      <c r="AC15" s="1354"/>
      <c r="AD15" s="1354"/>
      <c r="AE15" s="1354"/>
      <c r="AF15" s="1354"/>
      <c r="AG15" s="1354"/>
      <c r="AH15" s="1354"/>
      <c r="AI15" s="1354"/>
      <c r="AJ15" s="1354"/>
      <c r="AK15" s="1354"/>
      <c r="AL15" s="1354"/>
      <c r="AM15" s="1354"/>
      <c r="AN15" s="1354"/>
      <c r="AO15" s="1354"/>
      <c r="AP15" s="1354"/>
      <c r="AQ15" s="1354"/>
      <c r="AR15" s="1354"/>
      <c r="AS15" s="1354"/>
      <c r="AT15" s="1354"/>
      <c r="AU15" s="1354"/>
      <c r="AW15" s="795"/>
      <c r="AX15" s="795" t="str">
        <f>IF(T15="","",T15)</f>
        <v>Добавить источник для дифференциации</v>
      </c>
      <c r="AY15" s="795"/>
      <c r="AZ15" s="795"/>
    </row>
    <row s="3274" customFormat="1" customHeight="1" ht="14.25" hidden="1">
      <c r="A16" s="1373"/>
      <c r="B16" s="1373"/>
      <c r="C16" s="1344"/>
      <c r="D16" s="1344"/>
      <c r="E16" s="2108"/>
      <c r="F16" s="2107"/>
      <c r="G16" s="1344"/>
      <c r="H16" s="1344"/>
      <c r="I16" s="1344"/>
      <c r="J16" s="1344"/>
      <c r="K16" s="1344"/>
      <c r="L16" s="1369"/>
      <c r="M16" s="1351"/>
      <c r="N16" s="1351"/>
      <c r="P16" s="1346"/>
      <c r="Q16" s="1347"/>
      <c r="R16" s="1346"/>
      <c r="S16" s="1352"/>
      <c r="T16" s="1355" t="s">
        <v>168</v>
      </c>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W16" s="795"/>
      <c r="AX16" s="795" t="str">
        <f>IF(T16="","",T16)</f>
        <v>Добавить централизованную систему для дифференциации</v>
      </c>
      <c r="AY16" s="795"/>
      <c r="AZ16" s="795"/>
    </row>
    <row s="2612" customFormat="1" customHeight="1" ht="14.25" hidden="1">
      <c r="A17" s="1373"/>
      <c r="B17" s="1373"/>
      <c r="C17" s="1373"/>
      <c r="D17" s="1373"/>
      <c r="E17" s="2107"/>
      <c r="F17" s="1373"/>
      <c r="G17" s="1373"/>
      <c r="H17" s="1373"/>
      <c r="I17" s="1373"/>
      <c r="J17" s="1373"/>
      <c r="K17" s="1373"/>
      <c r="L17" s="1376"/>
      <c r="M17" s="1351"/>
      <c r="N17" s="1351"/>
      <c r="O17" s="524"/>
      <c r="P17" s="385"/>
      <c r="Q17" s="1374"/>
      <c r="R17" s="385"/>
      <c r="S17" s="1352"/>
      <c r="T17" s="1355" t="s">
        <v>169</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W17" s="506"/>
      <c r="AX17" s="506" t="str">
        <f>IF(T17="","",T17)</f>
        <v>Добавить территорию для дифференциации</v>
      </c>
      <c r="AY17" s="506"/>
      <c r="AZ17" s="506"/>
    </row>
    <row customHeight="1" ht="14.25" hidden="1">
      <c r="AA18" s="323"/>
      <c r="AS18" s="323"/>
    </row>
    <row customHeight="1" ht="14.25" hidden="1">
      <c r="AB19" s="1354" t="s">
        <v>56</v>
      </c>
      <c r="AC19" s="1531"/>
      <c r="AD19" s="554">
        <v>1</v>
      </c>
      <c r="AE19" s="1532"/>
      <c r="AF19" s="1354" t="s">
        <v>56</v>
      </c>
      <c r="AG19" s="1531"/>
      <c r="AH19" s="554">
        <v>1</v>
      </c>
      <c r="AI19" s="1532"/>
      <c r="AJ19" s="1354" t="s">
        <v>56</v>
      </c>
      <c r="AK19" s="1533"/>
      <c r="AL19" s="554">
        <v>1</v>
      </c>
      <c r="AM19" s="1536"/>
      <c r="AN19" s="1433"/>
      <c r="AO19" s="1434"/>
      <c r="AP19" s="1776"/>
      <c r="AQ19" s="1490" t="s">
        <v>61</v>
      </c>
      <c r="AR19" s="1776"/>
      <c r="AS19" s="1490" t="s">
        <v>61</v>
      </c>
    </row>
    <row customHeight="1" ht="14.25" hidden="1">
      <c r="AV20" s="502"/>
      <c r="AW20" s="502"/>
      <c r="AX20" s="502"/>
      <c r="AY20" s="502"/>
      <c r="AZ20" s="502"/>
    </row>
    <row customHeight="1" ht="14.25" hidden="1">
      <c r="O21" s="1397" t="s">
        <v>407</v>
      </c>
      <c r="X21" s="1375"/>
      <c r="Z21" s="1375"/>
      <c r="AA21" s="323"/>
      <c r="AP21" s="1375"/>
      <c r="AR21" s="1375"/>
      <c r="AS21" s="323"/>
      <c r="AV21" s="502"/>
      <c r="AW21" s="502"/>
      <c r="AX21" s="502"/>
      <c r="AY21" s="502"/>
      <c r="AZ21" s="502"/>
    </row>
    <row customHeight="1" ht="14.25" hidden="1">
      <c r="AA22" s="323"/>
      <c r="AS22" s="323"/>
      <c r="AV22" s="502"/>
      <c r="AW22" s="502"/>
      <c r="AX22" s="502"/>
      <c r="AY22" s="502"/>
      <c r="AZ22" s="502"/>
    </row>
    <row s="3922" customFormat="1" customHeight="1" ht="14.25" hidden="1">
      <c r="M23" s="1538"/>
      <c r="N23" s="1538"/>
      <c r="O23" s="1539" t="s">
        <v>408</v>
      </c>
      <c r="P23" s="1538"/>
      <c r="Q23" s="1540"/>
      <c r="R23" s="1540"/>
      <c r="Y23" s="1537" t="s">
        <v>410</v>
      </c>
      <c r="AA23" s="1537" t="s">
        <v>411</v>
      </c>
      <c r="AB23" s="1537" t="s">
        <v>463</v>
      </c>
      <c r="AE23" s="1537" t="s">
        <v>464</v>
      </c>
      <c r="AF23" s="1537" t="s">
        <v>463</v>
      </c>
      <c r="AI23" s="1537" t="s">
        <v>465</v>
      </c>
      <c r="AJ23" s="1537" t="s">
        <v>463</v>
      </c>
      <c r="AM23" s="1537" t="s">
        <v>466</v>
      </c>
      <c r="AQ23" s="1537" t="s">
        <v>410</v>
      </c>
      <c r="AS23" s="1537" t="s">
        <v>411</v>
      </c>
      <c r="AV23" s="1541"/>
      <c r="AW23" s="1541"/>
      <c r="AX23" s="1541"/>
      <c r="AY23" s="1541"/>
      <c r="AZ23" s="1541"/>
    </row>
    <row customHeight="1" ht="14.25" hidden="1">
      <c r="O24" s="1394"/>
      <c r="AV24" s="502"/>
      <c r="AW24" s="502"/>
      <c r="AX24" s="502"/>
      <c r="AY24" s="502"/>
      <c r="AZ24" s="502"/>
    </row>
    <row customHeight="1" ht="14.25" hidden="1">
      <c r="O25" s="1394"/>
      <c r="AV25" s="502"/>
      <c r="AW25" s="502"/>
      <c r="AX25" s="502"/>
      <c r="AY25" s="502"/>
      <c r="AZ25" s="502"/>
    </row>
    <row customHeight="1" ht="14.25">
      <c r="Q26" s="279"/>
      <c r="R26" s="377"/>
      <c r="S26" s="1305"/>
      <c r="T26" s="361"/>
      <c r="U26" s="361"/>
      <c r="V26" s="515"/>
      <c r="W26" s="515"/>
      <c r="X26" s="515"/>
      <c r="Y26" s="515"/>
      <c r="Z26" s="515"/>
      <c r="AA26" s="515"/>
      <c r="AB26" s="515"/>
      <c r="AC26" s="515"/>
      <c r="AD26" s="515"/>
      <c r="AE26" s="515"/>
      <c r="AF26" s="515"/>
      <c r="AG26" s="515"/>
      <c r="AH26" s="515"/>
      <c r="AI26" s="515"/>
      <c r="AJ26" s="515"/>
      <c r="AK26" s="515"/>
      <c r="AL26" s="515"/>
      <c r="AM26" s="515"/>
      <c r="AN26" s="515"/>
      <c r="AO26" s="515"/>
      <c r="AP26" s="515"/>
      <c r="AQ26" s="515"/>
      <c r="AR26" s="515"/>
      <c r="AS26" s="515"/>
    </row>
    <row customHeight="1" ht="26.25">
      <c r="Q27" s="279"/>
      <c r="R27" s="377"/>
      <c r="S27" s="2140"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40"/>
      <c r="U27" s="2140"/>
      <c r="V27" s="2140"/>
      <c r="W27" s="2140"/>
      <c r="X27" s="2140"/>
      <c r="Y27" s="2140"/>
      <c r="Z27" s="2140"/>
      <c r="AA27" s="2140"/>
      <c r="AB27" s="2140"/>
      <c r="AC27" s="2140"/>
      <c r="AD27" s="2140"/>
      <c r="AE27" s="2140"/>
      <c r="AF27" s="2140"/>
      <c r="AG27" s="2140"/>
      <c r="AH27" s="2140"/>
      <c r="AI27" s="2140"/>
      <c r="AJ27" s="2140"/>
      <c r="AK27" s="2140"/>
      <c r="AL27" s="2140"/>
      <c r="AM27" s="2140"/>
      <c r="AN27" s="2140"/>
      <c r="AO27" s="2140"/>
      <c r="AP27" s="2140"/>
      <c r="AQ27" s="2140"/>
      <c r="AR27" s="2140"/>
      <c r="AS27" s="1261"/>
    </row>
    <row customHeight="1" ht="14.25">
      <c r="Q28" s="279"/>
      <c r="R28" s="377"/>
      <c r="S28" s="2141" t="str">
        <f>IF(org=0,"Не определено",org)</f>
        <v>МУП г. Азова "Теплоэнерго"</v>
      </c>
      <c r="T28" s="2141"/>
      <c r="U28" s="2141"/>
      <c r="V28" s="2141"/>
      <c r="W28" s="2141"/>
      <c r="X28" s="2141"/>
      <c r="Y28" s="2141"/>
      <c r="Z28" s="2141"/>
      <c r="AA28" s="2141"/>
      <c r="AB28" s="2141"/>
      <c r="AC28" s="2141"/>
      <c r="AD28" s="2141"/>
      <c r="AE28" s="2141"/>
      <c r="AF28" s="2141"/>
      <c r="AG28" s="2141"/>
      <c r="AH28" s="2141"/>
      <c r="AI28" s="2141"/>
      <c r="AJ28" s="2141"/>
      <c r="AK28" s="2141"/>
      <c r="AL28" s="2141"/>
      <c r="AM28" s="2141"/>
      <c r="AN28" s="2141"/>
      <c r="AO28" s="2141"/>
      <c r="AP28" s="2141"/>
      <c r="AQ28" s="2141"/>
      <c r="AR28" s="2141"/>
      <c r="AS28" s="1261"/>
    </row>
    <row customHeight="1" ht="14.25">
      <c r="Q29" s="279"/>
      <c r="R29" s="377"/>
      <c r="S29" s="1305"/>
      <c r="T29" s="361"/>
      <c r="U29" s="361"/>
      <c r="V29" s="316"/>
      <c r="W29" s="316"/>
      <c r="X29" s="316"/>
      <c r="Y29" s="316"/>
      <c r="Z29" s="316"/>
      <c r="AA29" s="316"/>
      <c r="AB29" s="316"/>
      <c r="AC29" s="316"/>
      <c r="AD29" s="316"/>
      <c r="AE29" s="316"/>
      <c r="AF29" s="316"/>
      <c r="AG29" s="316"/>
      <c r="AH29" s="316"/>
      <c r="AI29" s="316"/>
      <c r="AJ29" s="316"/>
      <c r="AK29" s="316"/>
      <c r="AL29" s="316"/>
      <c r="AM29" s="316"/>
      <c r="AN29" s="316"/>
      <c r="AO29" s="316"/>
      <c r="AP29" s="316"/>
      <c r="AQ29" s="316"/>
      <c r="AR29" s="316"/>
      <c r="AS29" s="316"/>
      <c r="AT29" s="515"/>
    </row>
    <row s="3306" customFormat="1" customHeight="1" ht="25.5">
      <c r="A30" s="1398"/>
      <c r="B30" s="1398"/>
      <c r="C30" s="1398"/>
      <c r="D30" s="1398"/>
      <c r="E30" s="1398"/>
      <c r="F30" s="1398"/>
      <c r="G30" s="1398"/>
      <c r="H30" s="1398"/>
      <c r="I30" s="1398"/>
      <c r="J30" s="1398"/>
      <c r="K30" s="1398"/>
      <c r="L30" s="1399"/>
      <c r="M30" s="1398"/>
      <c r="N30" s="1398"/>
      <c r="O30" s="1398"/>
      <c r="P30" s="1398"/>
      <c r="Q30" s="1398"/>
      <c r="S30" s="2098" t="s">
        <v>38</v>
      </c>
      <c r="T30" s="2098"/>
      <c r="U30" s="1402"/>
      <c r="V30" s="2100" t="str">
        <f>IF(TITLE_NAME_OR_PR_CHANGE="",IF(TITLE_NAME_OR_PR="","",TITLE_NAME_OR_PR),TITLE_NAME_OR_PR_CHANGE)</f>
        <v>Региональная служба по тарифам Ростовской области</v>
      </c>
      <c r="W30" s="2100"/>
      <c r="X30" s="2100"/>
      <c r="Y30" s="2100"/>
      <c r="Z30" s="2100"/>
      <c r="AA30" s="322"/>
      <c r="AB30" s="2100" t="str">
        <f>IF(TITLE_NAME_OR_PR_CHANGE="",IF(TITLE_NAME_OR_PR="","",TITLE_NAME_OR_PR),TITLE_NAME_OR_PR_CHANGE)</f>
        <v>Региональная служба по тарифам Ростовской области</v>
      </c>
      <c r="AC30" s="2100"/>
      <c r="AD30" s="2100"/>
      <c r="AE30" s="2100"/>
      <c r="AF30" s="2100"/>
      <c r="AG30" s="2100"/>
      <c r="AH30" s="2100"/>
      <c r="AI30" s="2100"/>
      <c r="AJ30" s="2100"/>
      <c r="AK30" s="2100"/>
      <c r="AL30" s="2100"/>
      <c r="AM30" s="2100"/>
      <c r="AN30" s="2100"/>
      <c r="AO30" s="2100"/>
      <c r="AP30" s="2100"/>
      <c r="AQ30" s="2100"/>
      <c r="AR30" s="2100"/>
      <c r="AS30" s="322"/>
      <c r="AT30" s="322"/>
      <c r="AU30" s="268"/>
      <c r="AV30" s="368"/>
      <c r="AW30" s="368"/>
      <c r="AX30" s="368"/>
      <c r="AY30" s="368"/>
      <c r="AZ30" s="368"/>
    </row>
    <row s="3306" customFormat="1" customHeight="1" ht="18.75">
      <c r="A31" s="1398"/>
      <c r="B31" s="1398"/>
      <c r="C31" s="1398"/>
      <c r="D31" s="1398"/>
      <c r="E31" s="1398"/>
      <c r="F31" s="1398"/>
      <c r="G31" s="1398"/>
      <c r="H31" s="1398"/>
      <c r="I31" s="1398"/>
      <c r="J31" s="1398"/>
      <c r="K31" s="1398"/>
      <c r="L31" s="1399"/>
      <c r="M31" s="1398"/>
      <c r="N31" s="1398"/>
      <c r="O31" s="1398"/>
      <c r="P31" s="1398"/>
      <c r="Q31" s="1398"/>
      <c r="S31" s="2098" t="s">
        <v>413</v>
      </c>
      <c r="T31" s="2098"/>
      <c r="U31" s="1402"/>
      <c r="V31" s="2099" t="str">
        <f>IF(TITLE_DATE_PR_CHANGE="",IF(TITLE_DATE_PR="","",TITLE_DATE_PR),TITLE_DATE_PR_CHANGE)</f>
        <v>45245.61800925926</v>
      </c>
      <c r="W31" s="2099"/>
      <c r="X31" s="2099"/>
      <c r="Y31" s="2099"/>
      <c r="Z31" s="2099"/>
      <c r="AA31" s="322"/>
      <c r="AB31" s="2099" t="str">
        <f>IF(TITLE_DATE_PR_CHANGE="",IF(TITLE_DATE_PR="","",TITLE_DATE_PR),TITLE_DATE_PR_CHANGE)</f>
        <v>45245.61800925926</v>
      </c>
      <c r="AC31" s="2099"/>
      <c r="AD31" s="2099"/>
      <c r="AE31" s="2099"/>
      <c r="AF31" s="2099"/>
      <c r="AG31" s="2099"/>
      <c r="AH31" s="2099"/>
      <c r="AI31" s="2099"/>
      <c r="AJ31" s="2099"/>
      <c r="AK31" s="2099"/>
      <c r="AL31" s="2099"/>
      <c r="AM31" s="2099"/>
      <c r="AN31" s="2099"/>
      <c r="AO31" s="2099"/>
      <c r="AP31" s="2099"/>
      <c r="AQ31" s="2099"/>
      <c r="AR31" s="2099"/>
      <c r="AS31" s="322"/>
      <c r="AT31" s="322"/>
      <c r="AU31" s="268"/>
      <c r="AV31" s="368"/>
      <c r="AW31" s="368"/>
      <c r="AX31" s="368"/>
      <c r="AY31" s="368"/>
      <c r="AZ31" s="368"/>
    </row>
    <row s="3306" customFormat="1" customHeight="1" ht="18.75">
      <c r="A32" s="1398"/>
      <c r="B32" s="1398"/>
      <c r="C32" s="1398"/>
      <c r="D32" s="1398"/>
      <c r="E32" s="1398"/>
      <c r="F32" s="1398"/>
      <c r="G32" s="1398"/>
      <c r="H32" s="1398"/>
      <c r="I32" s="1398"/>
      <c r="J32" s="1398"/>
      <c r="K32" s="1398"/>
      <c r="L32" s="1399"/>
      <c r="M32" s="1398"/>
      <c r="N32" s="1398"/>
      <c r="O32" s="1398"/>
      <c r="P32" s="1398"/>
      <c r="Q32" s="1398"/>
      <c r="S32" s="2098" t="s">
        <v>414</v>
      </c>
      <c r="T32" s="2098"/>
      <c r="U32" s="1402"/>
      <c r="V32" s="2100" t="str">
        <f>IF(TITLE_NUMBER_PR_CHANGE="",IF(TITLE_NUMBER_PR="","",TITLE_NUMBER_PR),TITLE_NUMBER_PR_CHANGE)</f>
        <v>550</v>
      </c>
      <c r="W32" s="2100"/>
      <c r="X32" s="2100"/>
      <c r="Y32" s="2100"/>
      <c r="Z32" s="2100"/>
      <c r="AA32" s="322"/>
      <c r="AB32" s="2100" t="str">
        <f>IF(TITLE_NUMBER_PR_CHANGE="",IF(TITLE_NUMBER_PR="","",TITLE_NUMBER_PR),TITLE_NUMBER_PR_CHANGE)</f>
        <v>550</v>
      </c>
      <c r="AC32" s="2100"/>
      <c r="AD32" s="2100"/>
      <c r="AE32" s="2100"/>
      <c r="AF32" s="2100"/>
      <c r="AG32" s="2100"/>
      <c r="AH32" s="2100"/>
      <c r="AI32" s="2100"/>
      <c r="AJ32" s="2100"/>
      <c r="AK32" s="2100"/>
      <c r="AL32" s="2100"/>
      <c r="AM32" s="2100"/>
      <c r="AN32" s="2100"/>
      <c r="AO32" s="2100"/>
      <c r="AP32" s="2100"/>
      <c r="AQ32" s="2100"/>
      <c r="AR32" s="2100"/>
      <c r="AS32" s="322"/>
      <c r="AT32" s="322"/>
      <c r="AU32" s="268"/>
      <c r="AV32" s="368"/>
      <c r="AW32" s="368"/>
      <c r="AX32" s="368"/>
      <c r="AY32" s="368"/>
      <c r="AZ32" s="368"/>
    </row>
    <row s="3306" customFormat="1" customHeight="1" ht="18.75">
      <c r="A33" s="1398"/>
      <c r="B33" s="1398"/>
      <c r="C33" s="1398"/>
      <c r="D33" s="1398"/>
      <c r="E33" s="1398"/>
      <c r="F33" s="1398"/>
      <c r="G33" s="1398"/>
      <c r="H33" s="1398"/>
      <c r="I33" s="1398"/>
      <c r="J33" s="1398"/>
      <c r="K33" s="1398"/>
      <c r="L33" s="1399"/>
      <c r="M33" s="1398"/>
      <c r="N33" s="1398"/>
      <c r="O33" s="1398"/>
      <c r="P33" s="1398"/>
      <c r="Q33" s="1398"/>
      <c r="S33" s="2098" t="s">
        <v>40</v>
      </c>
      <c r="T33" s="2098"/>
      <c r="U33" s="1402"/>
      <c r="V33" s="2100" t="str">
        <f>IF(TITLE_IST_PUB_CHANGE="",IF(TITLE_IST_PUB="","",TITLE_IST_PUB),TITLE_IST_PUB_CHANGE)</f>
        <v>https://rst.donland.ru</v>
      </c>
      <c r="W33" s="2100"/>
      <c r="X33" s="2100"/>
      <c r="Y33" s="2100"/>
      <c r="Z33" s="2100"/>
      <c r="AA33" s="322"/>
      <c r="AB33" s="2100" t="str">
        <f>IF(TITLE_IST_PUB_CHANGE="",IF(TITLE_IST_PUB="","",TITLE_IST_PUB),TITLE_IST_PUB_CHANGE)</f>
        <v>https://rst.donland.ru</v>
      </c>
      <c r="AC33" s="2100"/>
      <c r="AD33" s="2100"/>
      <c r="AE33" s="2100"/>
      <c r="AF33" s="2100"/>
      <c r="AG33" s="2100"/>
      <c r="AH33" s="2100"/>
      <c r="AI33" s="2100"/>
      <c r="AJ33" s="2100"/>
      <c r="AK33" s="2100"/>
      <c r="AL33" s="2100"/>
      <c r="AM33" s="2100"/>
      <c r="AN33" s="2100"/>
      <c r="AO33" s="2100"/>
      <c r="AP33" s="2100"/>
      <c r="AQ33" s="2100"/>
      <c r="AR33" s="2100"/>
      <c r="AS33" s="322"/>
      <c r="AT33" s="322"/>
      <c r="AU33" s="268"/>
      <c r="AV33" s="368"/>
      <c r="AW33" s="368"/>
      <c r="AX33" s="368"/>
      <c r="AY33" s="368"/>
      <c r="AZ33" s="368"/>
    </row>
    <row customHeight="1" ht="14.25" hidden="1">
      <c r="Q34" s="279"/>
      <c r="R34" s="377"/>
      <c r="S34" s="1305"/>
      <c r="T34" s="361"/>
      <c r="U34" s="361"/>
      <c r="V34" s="316"/>
      <c r="W34" s="316"/>
      <c r="X34" s="316"/>
      <c r="Y34" s="316"/>
      <c r="Z34" s="316"/>
      <c r="AA34" s="316"/>
      <c r="AB34" s="316"/>
      <c r="AC34" s="316"/>
      <c r="AD34" s="316"/>
      <c r="AE34" s="316"/>
      <c r="AF34" s="316"/>
      <c r="AG34" s="316"/>
      <c r="AH34" s="316"/>
      <c r="AI34" s="316"/>
      <c r="AJ34" s="316"/>
      <c r="AK34" s="316"/>
      <c r="AL34" s="316"/>
      <c r="AM34" s="316"/>
      <c r="AN34" s="316"/>
      <c r="AO34" s="316"/>
      <c r="AP34" s="316"/>
      <c r="AQ34" s="316"/>
      <c r="AR34" s="316"/>
      <c r="AS34" s="316"/>
      <c r="AT34" s="515"/>
    </row>
    <row s="3306" customFormat="1" customHeight="1" ht="18.75" hidden="1">
      <c r="A35" s="1398"/>
      <c r="B35" s="1398"/>
      <c r="C35" s="1398"/>
      <c r="D35" s="1398"/>
      <c r="E35" s="1398"/>
      <c r="F35" s="1398"/>
      <c r="G35" s="1398"/>
      <c r="H35" s="1398"/>
      <c r="I35" s="1398"/>
      <c r="J35" s="1398"/>
      <c r="K35" s="1398"/>
      <c r="L35" s="1399"/>
      <c r="M35" s="1398"/>
      <c r="N35" s="1398"/>
      <c r="O35" s="1398"/>
      <c r="P35" s="1398"/>
      <c r="Q35" s="1398"/>
      <c r="S35" s="2098" t="s">
        <v>413</v>
      </c>
      <c r="T35" s="2098"/>
      <c r="U35" s="1402"/>
      <c r="V35" s="2099" t="str">
        <f>IF(TITLE_DATE_PR_CHANGE="",IF(TITLE_DATE_PR="","",TITLE_DATE_PR),TITLE_DATE_PR_CHANGE)</f>
        <v>45245.61800925926</v>
      </c>
      <c r="W35" s="2099"/>
      <c r="X35" s="2099"/>
      <c r="Y35" s="2099"/>
      <c r="Z35" s="2099"/>
      <c r="AA35" s="322"/>
      <c r="AB35" s="2099" t="str">
        <f>IF(TITLE_DATE_PR_CHANGE="",IF(TITLE_DATE_PR="","",TITLE_DATE_PR),TITLE_DATE_PR_CHANGE)</f>
        <v>45245.61800925926</v>
      </c>
      <c r="AC35" s="2099"/>
      <c r="AD35" s="2099"/>
      <c r="AE35" s="2099"/>
      <c r="AF35" s="2099"/>
      <c r="AG35" s="2099"/>
      <c r="AH35" s="2099"/>
      <c r="AI35" s="2099"/>
      <c r="AJ35" s="2099"/>
      <c r="AK35" s="2099"/>
      <c r="AL35" s="2099"/>
      <c r="AM35" s="2099"/>
      <c r="AN35" s="2099"/>
      <c r="AO35" s="2099"/>
      <c r="AP35" s="2099"/>
      <c r="AQ35" s="2099"/>
      <c r="AR35" s="2099"/>
      <c r="AS35" s="322"/>
      <c r="AT35" s="322"/>
      <c r="AU35" s="268"/>
      <c r="AV35" s="368"/>
      <c r="AW35" s="368"/>
      <c r="AX35" s="368"/>
      <c r="AY35" s="368"/>
      <c r="AZ35" s="368"/>
    </row>
    <row s="3306" customFormat="1" customHeight="1" ht="18" hidden="1">
      <c r="A36" s="1398"/>
      <c r="B36" s="1398"/>
      <c r="C36" s="1398"/>
      <c r="D36" s="1398"/>
      <c r="E36" s="1398"/>
      <c r="F36" s="1398"/>
      <c r="G36" s="1398"/>
      <c r="H36" s="1398"/>
      <c r="I36" s="1398"/>
      <c r="J36" s="1398"/>
      <c r="K36" s="1398"/>
      <c r="L36" s="1399"/>
      <c r="M36" s="1398"/>
      <c r="N36" s="1398"/>
      <c r="O36" s="1398"/>
      <c r="P36" s="1398"/>
      <c r="Q36" s="1398"/>
      <c r="S36" s="2098" t="s">
        <v>414</v>
      </c>
      <c r="T36" s="2098"/>
      <c r="U36" s="1402"/>
      <c r="V36" s="2100" t="str">
        <f>IF(TITLE_NUMBER_PR_CHANGE="",IF(TITLE_NUMBER_PR="","",TITLE_NUMBER_PR),TITLE_NUMBER_PR_CHANGE)</f>
        <v>550</v>
      </c>
      <c r="W36" s="2100"/>
      <c r="X36" s="2100"/>
      <c r="Y36" s="2100"/>
      <c r="Z36" s="2100"/>
      <c r="AA36" s="322"/>
      <c r="AB36" s="2100" t="str">
        <f>IF(TITLE_NUMBER_PR_CHANGE="",IF(TITLE_NUMBER_PR="","",TITLE_NUMBER_PR),TITLE_NUMBER_PR_CHANGE)</f>
        <v>550</v>
      </c>
      <c r="AC36" s="2100"/>
      <c r="AD36" s="2100"/>
      <c r="AE36" s="2100"/>
      <c r="AF36" s="2100"/>
      <c r="AG36" s="2100"/>
      <c r="AH36" s="2100"/>
      <c r="AI36" s="2100"/>
      <c r="AJ36" s="2100"/>
      <c r="AK36" s="2100"/>
      <c r="AL36" s="2100"/>
      <c r="AM36" s="2100"/>
      <c r="AN36" s="2100"/>
      <c r="AO36" s="2100"/>
      <c r="AP36" s="2100"/>
      <c r="AQ36" s="2100"/>
      <c r="AR36" s="2100"/>
      <c r="AS36" s="322"/>
      <c r="AT36" s="322"/>
      <c r="AU36" s="268"/>
      <c r="AV36" s="368"/>
      <c r="AW36" s="368"/>
      <c r="AX36" s="368"/>
      <c r="AY36" s="368"/>
      <c r="AZ36" s="368"/>
    </row>
    <row s="3306" customFormat="1" customHeight="1" ht="0.75">
      <c r="A37" s="1398"/>
      <c r="B37" s="1398"/>
      <c r="C37" s="1398"/>
      <c r="D37" s="1398"/>
      <c r="E37" s="1398"/>
      <c r="F37" s="1398"/>
      <c r="G37" s="1398"/>
      <c r="H37" s="1398"/>
      <c r="I37" s="1398"/>
      <c r="J37" s="1398"/>
      <c r="K37" s="1398"/>
      <c r="L37" s="1399"/>
      <c r="M37" s="1398"/>
      <c r="N37" s="1398"/>
      <c r="O37" s="1398"/>
      <c r="P37" s="1398"/>
      <c r="Q37" s="1398"/>
      <c r="S37" s="318"/>
      <c r="T37" s="318"/>
      <c r="U37" s="1370"/>
      <c r="V37" s="322"/>
      <c r="W37" s="322"/>
      <c r="X37" s="322"/>
      <c r="Y37" s="322"/>
      <c r="Z37" s="322"/>
      <c r="AA37" s="266" t="s">
        <v>417</v>
      </c>
      <c r="AB37" s="322"/>
      <c r="AC37" s="322"/>
      <c r="AD37" s="322"/>
      <c r="AE37" s="322"/>
      <c r="AF37" s="322"/>
      <c r="AG37" s="322"/>
      <c r="AH37" s="322"/>
      <c r="AI37" s="322"/>
      <c r="AJ37" s="322"/>
      <c r="AK37" s="322"/>
      <c r="AL37" s="322"/>
      <c r="AM37" s="322"/>
      <c r="AN37" s="322"/>
      <c r="AO37" s="322"/>
      <c r="AP37" s="322"/>
      <c r="AQ37" s="322"/>
      <c r="AR37" s="322"/>
      <c r="AS37" s="266" t="s">
        <v>417</v>
      </c>
      <c r="AV37" s="368"/>
      <c r="AW37" s="368"/>
      <c r="AX37" s="368"/>
      <c r="AY37" s="368"/>
      <c r="AZ37" s="368"/>
    </row>
    <row customHeight="1" ht="14.25">
      <c r="Q38" s="279"/>
      <c r="R38" s="377"/>
      <c r="S38" s="1305"/>
      <c r="T38" s="361"/>
      <c r="U38" s="1262"/>
      <c r="V38" s="2124"/>
      <c r="W38" s="2124"/>
      <c r="X38" s="2124"/>
      <c r="Y38" s="2124"/>
      <c r="Z38" s="2124"/>
      <c r="AA38" s="2124"/>
      <c r="AB38" s="2124"/>
      <c r="AC38" s="2124"/>
      <c r="AD38" s="2124"/>
      <c r="AE38" s="2124"/>
      <c r="AF38" s="2124"/>
      <c r="AG38" s="2124"/>
      <c r="AH38" s="2124"/>
      <c r="AI38" s="2124"/>
      <c r="AJ38" s="2124"/>
      <c r="AK38" s="2124"/>
      <c r="AL38" s="2124"/>
      <c r="AM38" s="2124"/>
      <c r="AN38" s="2124"/>
      <c r="AO38" s="2124"/>
      <c r="AP38" s="2124"/>
      <c r="AQ38" s="2124"/>
      <c r="AR38" s="2124"/>
      <c r="AS38" s="2124"/>
    </row>
    <row customHeight="1" ht="14.25">
      <c r="Q39" s="279"/>
      <c r="R39" s="377"/>
      <c r="S39" s="1971" t="s">
        <v>291</v>
      </c>
      <c r="T39" s="1971"/>
      <c r="U39" s="1971"/>
      <c r="V39" s="1971"/>
      <c r="W39" s="1971"/>
      <c r="X39" s="1971"/>
      <c r="Y39" s="1971"/>
      <c r="Z39" s="1971"/>
      <c r="AA39" s="1971"/>
      <c r="AB39" s="2028"/>
      <c r="AC39" s="2028"/>
      <c r="AD39" s="2028"/>
      <c r="AE39" s="2028"/>
      <c r="AF39" s="1971"/>
      <c r="AG39" s="1971"/>
      <c r="AH39" s="1971"/>
      <c r="AI39" s="1971"/>
      <c r="AJ39" s="1971"/>
      <c r="AK39" s="1971"/>
      <c r="AL39" s="1971"/>
      <c r="AM39" s="1971"/>
      <c r="AN39" s="1971"/>
      <c r="AO39" s="1971"/>
      <c r="AP39" s="1971"/>
      <c r="AQ39" s="1971"/>
      <c r="AR39" s="1971"/>
      <c r="AS39" s="1971"/>
      <c r="AT39" s="1971"/>
      <c r="AU39" s="1971" t="s">
        <v>292</v>
      </c>
    </row>
    <row customHeight="1" ht="14.25">
      <c r="Q40" s="279"/>
      <c r="R40" s="377"/>
      <c r="S40" s="2125" t="s">
        <v>87</v>
      </c>
      <c r="T40" s="2062" t="s">
        <v>467</v>
      </c>
      <c r="U40" s="289"/>
      <c r="V40" s="2127"/>
      <c r="W40" s="2127"/>
      <c r="X40" s="2127"/>
      <c r="Y40" s="2127"/>
      <c r="Z40" s="2128"/>
      <c r="AA40" s="2189" t="s">
        <v>420</v>
      </c>
      <c r="AB40" s="2173" t="s">
        <v>468</v>
      </c>
      <c r="AC40" s="2146"/>
      <c r="AD40" s="2146"/>
      <c r="AE40" s="2174"/>
      <c r="AF40" s="2146" t="s">
        <v>469</v>
      </c>
      <c r="AG40" s="2146"/>
      <c r="AH40" s="2146"/>
      <c r="AI40" s="2174"/>
      <c r="AJ40" s="2173" t="s">
        <v>470</v>
      </c>
      <c r="AK40" s="2146"/>
      <c r="AL40" s="2146"/>
      <c r="AM40" s="2174"/>
      <c r="AN40" s="2173" t="s">
        <v>419</v>
      </c>
      <c r="AO40" s="2146"/>
      <c r="AP40" s="2127"/>
      <c r="AQ40" s="2127"/>
      <c r="AR40" s="2128"/>
      <c r="AS40" s="2129" t="s">
        <v>420</v>
      </c>
      <c r="AT40" s="2132" t="s">
        <v>422</v>
      </c>
      <c r="AU40" s="1971"/>
    </row>
    <row customHeight="1" ht="33.75">
      <c r="Q41" s="279"/>
      <c r="R41" s="377"/>
      <c r="S41" s="2125"/>
      <c r="T41" s="2062"/>
      <c r="U41" s="1038"/>
      <c r="V41" s="2029" t="s">
        <v>471</v>
      </c>
      <c r="W41" s="2030"/>
      <c r="X41" s="2144" t="s">
        <v>426</v>
      </c>
      <c r="Y41" s="2162"/>
      <c r="Z41" s="2163"/>
      <c r="AA41" s="2190"/>
      <c r="AB41" s="2175"/>
      <c r="AC41" s="2176"/>
      <c r="AD41" s="2176"/>
      <c r="AE41" s="2188"/>
      <c r="AF41" s="2176"/>
      <c r="AG41" s="2176"/>
      <c r="AH41" s="2176"/>
      <c r="AI41" s="2188"/>
      <c r="AJ41" s="2175"/>
      <c r="AK41" s="2176"/>
      <c r="AL41" s="2176"/>
      <c r="AM41" s="2176"/>
      <c r="AN41" s="1971" t="s">
        <v>472</v>
      </c>
      <c r="AO41" s="1971"/>
      <c r="AP41" s="2162" t="s">
        <v>426</v>
      </c>
      <c r="AQ41" s="2162"/>
      <c r="AR41" s="2163"/>
      <c r="AS41" s="2130"/>
      <c r="AT41" s="2133"/>
      <c r="AU41" s="1971"/>
    </row>
    <row customHeight="1" ht="14.25">
      <c r="Q42" s="279"/>
      <c r="R42" s="377"/>
      <c r="S42" s="2125"/>
      <c r="T42" s="2062"/>
      <c r="U42" s="1038"/>
      <c r="V42" s="2037"/>
      <c r="W42" s="2038"/>
      <c r="X42" s="2145"/>
      <c r="Y42" s="2164"/>
      <c r="Z42" s="2165"/>
      <c r="AA42" s="2190"/>
      <c r="AB42" s="2175"/>
      <c r="AC42" s="2176"/>
      <c r="AD42" s="2176"/>
      <c r="AE42" s="2188"/>
      <c r="AF42" s="2176"/>
      <c r="AG42" s="2176"/>
      <c r="AH42" s="2176"/>
      <c r="AI42" s="2188"/>
      <c r="AJ42" s="2175"/>
      <c r="AK42" s="2176"/>
      <c r="AL42" s="2176"/>
      <c r="AM42" s="2176"/>
      <c r="AN42" s="2192"/>
      <c r="AO42" s="2192"/>
      <c r="AP42" s="2164"/>
      <c r="AQ42" s="2164"/>
      <c r="AR42" s="2165"/>
      <c r="AS42" s="2130"/>
      <c r="AT42" s="2133"/>
      <c r="AU42" s="1971"/>
    </row>
    <row customHeight="1" ht="14.25">
      <c r="A43" s="1400"/>
      <c r="B43" s="1400" t="s">
        <v>134</v>
      </c>
      <c r="C43" s="1400" t="s">
        <v>135</v>
      </c>
      <c r="D43" s="1400" t="s">
        <v>136</v>
      </c>
      <c r="E43" s="1394" t="s">
        <v>427</v>
      </c>
      <c r="F43" s="1394" t="s">
        <v>428</v>
      </c>
      <c r="G43" s="1394" t="s">
        <v>429</v>
      </c>
      <c r="H43" s="1394" t="s">
        <v>430</v>
      </c>
      <c r="I43" s="1394" t="s">
        <v>431</v>
      </c>
      <c r="J43" s="1394" t="s">
        <v>432</v>
      </c>
      <c r="K43" s="1394" t="s">
        <v>433</v>
      </c>
      <c r="L43" s="1394" t="s">
        <v>408</v>
      </c>
      <c r="Q43" s="279"/>
      <c r="R43" s="377"/>
      <c r="S43" s="2125"/>
      <c r="T43" s="2062"/>
      <c r="U43" s="290"/>
      <c r="V43" s="1360" t="s">
        <v>473</v>
      </c>
      <c r="W43" s="1360" t="s">
        <v>474</v>
      </c>
      <c r="X43" s="1368" t="s">
        <v>436</v>
      </c>
      <c r="Y43" s="2121" t="s">
        <v>437</v>
      </c>
      <c r="Z43" s="2122"/>
      <c r="AA43" s="2191"/>
      <c r="AB43" s="2177"/>
      <c r="AC43" s="2178"/>
      <c r="AD43" s="2178"/>
      <c r="AE43" s="2179"/>
      <c r="AF43" s="2178"/>
      <c r="AG43" s="2178"/>
      <c r="AH43" s="2178"/>
      <c r="AI43" s="2179"/>
      <c r="AJ43" s="2177"/>
      <c r="AK43" s="2178"/>
      <c r="AL43" s="2178"/>
      <c r="AM43" s="2179"/>
      <c r="AN43" s="1903" t="s">
        <v>473</v>
      </c>
      <c r="AO43" s="1903" t="s">
        <v>474</v>
      </c>
      <c r="AP43" s="1368" t="s">
        <v>436</v>
      </c>
      <c r="AQ43" s="2121" t="s">
        <v>437</v>
      </c>
      <c r="AR43" s="2122"/>
      <c r="AS43" s="2131"/>
      <c r="AT43" s="2134"/>
      <c r="AU43" s="1971"/>
    </row>
    <row s="2611" customFormat="1" customHeight="1" ht="11.25" hidden="1">
      <c r="A44" s="1400"/>
      <c r="B44" s="1400"/>
      <c r="C44" s="1400"/>
      <c r="D44" s="1400"/>
      <c r="E44" s="1400"/>
      <c r="F44" s="1400"/>
      <c r="G44" s="1400"/>
      <c r="H44" s="1400"/>
      <c r="I44" s="1400"/>
      <c r="J44" s="1400"/>
      <c r="K44" s="1400"/>
      <c r="L44" s="1394"/>
      <c r="M44" s="1392"/>
      <c r="N44" s="1392"/>
      <c r="O44" s="1392"/>
      <c r="P44" s="516"/>
      <c r="Q44" s="1280"/>
      <c r="R44" s="1280">
        <v>1</v>
      </c>
      <c r="S44" s="1307" t="s">
        <v>108</v>
      </c>
      <c r="T44" s="1281" t="s">
        <v>109</v>
      </c>
      <c r="U44" s="1263" t="str">
        <f>OFFSET(U44,0,-1)</f>
        <v>2</v>
      </c>
      <c r="V44" s="1365">
        <f>OFFSET(V44,0,-1)+1</f>
        <v>3</v>
      </c>
      <c r="W44" s="1365">
        <f>OFFSET(W44,0,-1)+1</f>
        <v>4</v>
      </c>
      <c r="X44" s="1365">
        <f>OFFSET(X44,0,-1)+1</f>
        <v>5</v>
      </c>
      <c r="Y44" s="2123">
        <f>OFFSET(Y44,0,-1)+1</f>
        <v>6</v>
      </c>
      <c r="Z44" s="2123"/>
      <c r="AA44" s="1365">
        <f>OFFSET(AA44,0,-2)+1</f>
        <v>7</v>
      </c>
      <c r="AB44" s="1371">
        <f>OFFSET(AB44,0,-1)+1</f>
        <v>8</v>
      </c>
      <c r="AC44" s="1371"/>
      <c r="AD44" s="1371"/>
      <c r="AE44" s="1371"/>
      <c r="AF44" s="1365"/>
      <c r="AG44" s="1365"/>
      <c r="AH44" s="1365"/>
      <c r="AI44" s="1365"/>
      <c r="AJ44" s="1365"/>
      <c r="AK44" s="1365"/>
      <c r="AL44" s="1365"/>
      <c r="AM44" s="1365"/>
      <c r="AN44" s="1365">
        <f>OFFSET(AN44,0,-1)+1</f>
        <v>1</v>
      </c>
      <c r="AO44" s="1365">
        <f>OFFSET(AO44,0,-1)+1</f>
        <v>2</v>
      </c>
      <c r="AP44" s="1365">
        <f>OFFSET(AP44,0,-1)+1</f>
        <v>3</v>
      </c>
      <c r="AQ44" s="2123">
        <f>OFFSET(AQ44,0,-1)+1</f>
        <v>4</v>
      </c>
      <c r="AR44" s="2123"/>
      <c r="AS44" s="1365">
        <f>OFFSET(AS44,0,-2)+1</f>
        <v>5</v>
      </c>
      <c r="AT44" s="1263">
        <f>OFFSET(AT44,0,-1)</f>
        <v>5</v>
      </c>
      <c r="AU44" s="1365">
        <f>OFFSET(AU44,0,-1)+1</f>
        <v>6</v>
      </c>
      <c r="AV44" s="517"/>
      <c r="AW44" s="517"/>
      <c r="AX44" s="517"/>
      <c r="AY44" s="517"/>
      <c r="AZ44" s="517"/>
    </row>
    <row customHeight="1" ht="102">
      <c r="A45" s="1393" t="s">
        <v>203</v>
      </c>
      <c r="B45" s="1393"/>
      <c r="C45" s="1393"/>
      <c r="D45" s="1393"/>
      <c r="E45" s="2107">
        <v>1</v>
      </c>
      <c r="F45" s="1393"/>
      <c r="G45" s="1393"/>
      <c r="H45" s="1393"/>
      <c r="I45" s="1393"/>
      <c r="J45" s="1393"/>
      <c r="K45" s="1393"/>
      <c r="L45" s="1394"/>
      <c r="M45" s="1395"/>
      <c r="N45" s="1395"/>
      <c r="O45" s="1395"/>
      <c r="P45" s="1439"/>
      <c r="Q45" s="879"/>
      <c r="R45" s="351"/>
      <c r="S45" s="1366">
        <f>INDEX(PT_DIFFERENTIATION_NUM_NTAR,MATCH(A45,PT_DIFFERENTIATION_NTAR_ID,0))</f>
        <v>0</v>
      </c>
      <c r="T45" s="286" t="s">
        <v>122</v>
      </c>
      <c r="U45" s="288"/>
      <c r="V45" s="2102"/>
      <c r="W45" s="2102"/>
      <c r="X45" s="2102"/>
      <c r="Y45" s="2102"/>
      <c r="Z45" s="2102"/>
      <c r="AA45" s="2103"/>
      <c r="AB45" s="2101" t="str">
        <f>INDEX(PT_DIFFERENTIATION_NTAR,MATCH(A45,PT_DIFFERENTIATION_NTAR_ID,0))</f>
        <v/>
      </c>
      <c r="AC45" s="2102"/>
      <c r="AD45" s="2102"/>
      <c r="AE45" s="2102"/>
      <c r="AF45" s="2102"/>
      <c r="AG45" s="2102"/>
      <c r="AH45" s="2102"/>
      <c r="AI45" s="2102"/>
      <c r="AJ45" s="2102"/>
      <c r="AK45" s="2102"/>
      <c r="AL45" s="2102"/>
      <c r="AM45" s="2102"/>
      <c r="AN45" s="2102"/>
      <c r="AO45" s="2102"/>
      <c r="AP45" s="2102"/>
      <c r="AQ45" s="2102"/>
      <c r="AR45" s="2102"/>
      <c r="AS45" s="2102"/>
      <c r="AT45" s="2103"/>
      <c r="AU45" s="128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6"/>
      <c r="AX45" s="506" t="str">
        <f>IF(T45="","",T45)</f>
        <v>Наименование тарифа</v>
      </c>
      <c r="AY45" s="506"/>
      <c r="AZ45" s="506"/>
    </row>
    <row customHeight="1" ht="21">
      <c r="A46" s="1393" t="s">
        <v>203</v>
      </c>
      <c r="B46" s="1393" t="s">
        <v>204</v>
      </c>
      <c r="C46" s="1393"/>
      <c r="D46" s="1393"/>
      <c r="E46" s="2108"/>
      <c r="F46" s="2107">
        <v>1</v>
      </c>
      <c r="G46" s="1393"/>
      <c r="H46" s="1393"/>
      <c r="I46" s="1393"/>
      <c r="J46" s="1393"/>
      <c r="K46" s="1393"/>
      <c r="L46" s="1394"/>
      <c r="M46" s="1395"/>
      <c r="N46" s="1395"/>
      <c r="O46" s="1395"/>
      <c r="P46" s="1440"/>
      <c r="Q46" s="1441"/>
      <c r="R46" s="349"/>
      <c r="S46" s="1366" t="str">
        <f>INDEX(PT_DIFFERENTIATION_NUM_TER,MATCH(B46,PT_DIFFERENTIATION_TER_ID,0))</f>
        <v>.</v>
      </c>
      <c r="T46" s="298" t="s">
        <v>390</v>
      </c>
      <c r="U46" s="288"/>
      <c r="V46" s="2102"/>
      <c r="W46" s="2102"/>
      <c r="X46" s="2102"/>
      <c r="Y46" s="2102"/>
      <c r="Z46" s="2102"/>
      <c r="AA46" s="2103"/>
      <c r="AB46" s="2101" t="str">
        <f>INDEX(PT_DIFFERENTIATION_TER,MATCH(B46,PT_DIFFERENTIATION_TER_ID,0))</f>
        <v/>
      </c>
      <c r="AC46" s="2102"/>
      <c r="AD46" s="2102"/>
      <c r="AE46" s="2102"/>
      <c r="AF46" s="2102"/>
      <c r="AG46" s="2102"/>
      <c r="AH46" s="2102"/>
      <c r="AI46" s="2102"/>
      <c r="AJ46" s="2102"/>
      <c r="AK46" s="2102"/>
      <c r="AL46" s="2102"/>
      <c r="AM46" s="2102"/>
      <c r="AN46" s="2102"/>
      <c r="AO46" s="2102"/>
      <c r="AP46" s="2102"/>
      <c r="AQ46" s="2102"/>
      <c r="AR46" s="2102"/>
      <c r="AS46" s="2102"/>
      <c r="AT46" s="2103"/>
      <c r="AU46" s="1286" t="s">
        <v>391</v>
      </c>
      <c r="AW46" s="506"/>
      <c r="AX46" s="506" t="str">
        <f>IF(T46="","",T46)</f>
        <v>Территория действия тарифа</v>
      </c>
      <c r="AY46" s="506"/>
      <c r="AZ46" s="506"/>
    </row>
    <row customHeight="1" ht="23.25">
      <c r="A47" s="1393" t="s">
        <v>203</v>
      </c>
      <c r="B47" s="1393" t="s">
        <v>204</v>
      </c>
      <c r="C47" s="1393" t="s">
        <v>205</v>
      </c>
      <c r="D47" s="1393"/>
      <c r="E47" s="2108"/>
      <c r="F47" s="2108"/>
      <c r="G47" s="2107">
        <v>1</v>
      </c>
      <c r="H47" s="1393"/>
      <c r="I47" s="1393"/>
      <c r="J47" s="1393"/>
      <c r="K47" s="1393"/>
      <c r="L47" s="1394"/>
      <c r="M47" s="1395"/>
      <c r="N47" s="1395"/>
      <c r="O47" s="1395"/>
      <c r="P47" s="1442"/>
      <c r="Q47" s="1441"/>
      <c r="R47" s="349"/>
      <c r="S47" s="1366" t="str">
        <f>INDEX(PT_DIFFERENTIATION_NUM_CS,MATCH(C47,PT_DIFFERENTIATION_CS_ID,0))</f>
        <v>..</v>
      </c>
      <c r="T47" s="299" t="s">
        <v>392</v>
      </c>
      <c r="U47" s="288"/>
      <c r="V47" s="2102"/>
      <c r="W47" s="2102"/>
      <c r="X47" s="2102"/>
      <c r="Y47" s="2102"/>
      <c r="Z47" s="2102"/>
      <c r="AA47" s="2103"/>
      <c r="AB47" s="2101" t="str">
        <f>INDEX(PT_DIFFERENTIATION_CS,MATCH(C47,PT_DIFFERENTIATION_CS_ID,0))</f>
        <v/>
      </c>
      <c r="AC47" s="2102"/>
      <c r="AD47" s="2102"/>
      <c r="AE47" s="2102"/>
      <c r="AF47" s="2102"/>
      <c r="AG47" s="2102"/>
      <c r="AH47" s="2102"/>
      <c r="AI47" s="2102"/>
      <c r="AJ47" s="2102"/>
      <c r="AK47" s="2102"/>
      <c r="AL47" s="2102"/>
      <c r="AM47" s="2102"/>
      <c r="AN47" s="2102"/>
      <c r="AO47" s="2102"/>
      <c r="AP47" s="2102"/>
      <c r="AQ47" s="2102"/>
      <c r="AR47" s="2102"/>
      <c r="AS47" s="2102"/>
      <c r="AT47" s="2103"/>
      <c r="AU47" s="1286" t="s">
        <v>393</v>
      </c>
      <c r="AW47" s="506"/>
      <c r="AX47" s="506" t="str">
        <f>IF(T47="","",T47)</f>
        <v>Наименование системы теплоснабжения </v>
      </c>
      <c r="AY47" s="506"/>
      <c r="AZ47" s="506"/>
    </row>
    <row customHeight="1" ht="21">
      <c r="A48" s="1393" t="s">
        <v>203</v>
      </c>
      <c r="B48" s="1393" t="s">
        <v>204</v>
      </c>
      <c r="C48" s="1393" t="s">
        <v>205</v>
      </c>
      <c r="D48" s="1393" t="s">
        <v>206</v>
      </c>
      <c r="E48" s="2108"/>
      <c r="F48" s="2108"/>
      <c r="G48" s="2108"/>
      <c r="H48" s="2107">
        <v>1</v>
      </c>
      <c r="I48" s="1393"/>
      <c r="J48" s="1393"/>
      <c r="K48" s="1393"/>
      <c r="L48" s="1394"/>
      <c r="M48" s="1395"/>
      <c r="N48" s="1395"/>
      <c r="O48" s="1395"/>
      <c r="P48" s="1442"/>
      <c r="Q48" s="1441"/>
      <c r="R48" s="349"/>
      <c r="S48" s="1366" t="str">
        <f>INDEX(PT_DIFFERENTIATION_NUM_IST_TE,MATCH(D48,PT_DIFFERENTIATION_IST_TE_ID,0))</f>
        <v>...</v>
      </c>
      <c r="T48" s="300" t="s">
        <v>394</v>
      </c>
      <c r="U48" s="288"/>
      <c r="V48" s="2102"/>
      <c r="W48" s="2102"/>
      <c r="X48" s="2102"/>
      <c r="Y48" s="2102"/>
      <c r="Z48" s="2102"/>
      <c r="AA48" s="2103"/>
      <c r="AB48" s="2101" t="str">
        <f>INDEX(PT_DIFFERENTIATION_IST_TE,MATCH(D48,PT_DIFFERENTIATION_IST_TE_ID,0))</f>
        <v/>
      </c>
      <c r="AC48" s="2102"/>
      <c r="AD48" s="2102"/>
      <c r="AE48" s="2102"/>
      <c r="AF48" s="2102"/>
      <c r="AG48" s="2102"/>
      <c r="AH48" s="2102"/>
      <c r="AI48" s="2102"/>
      <c r="AJ48" s="2102"/>
      <c r="AK48" s="2102"/>
      <c r="AL48" s="2102"/>
      <c r="AM48" s="2102"/>
      <c r="AN48" s="2102"/>
      <c r="AO48" s="2102"/>
      <c r="AP48" s="2102"/>
      <c r="AQ48" s="2102"/>
      <c r="AR48" s="2102"/>
      <c r="AS48" s="2102"/>
      <c r="AT48" s="2103"/>
      <c r="AU48" s="1286" t="s">
        <v>395</v>
      </c>
      <c r="AW48" s="506"/>
      <c r="AX48" s="506" t="str">
        <f>IF(T48="","",T48)</f>
        <v>Источник тепловой энергии  </v>
      </c>
      <c r="AY48" s="506"/>
      <c r="AZ48" s="506"/>
    </row>
    <row s="2612" customFormat="1" customHeight="1" ht="0">
      <c r="A49" s="1373" t="s">
        <v>203</v>
      </c>
      <c r="B49" s="1373" t="s">
        <v>204</v>
      </c>
      <c r="C49" s="1373" t="s">
        <v>205</v>
      </c>
      <c r="D49" s="1373" t="s">
        <v>206</v>
      </c>
      <c r="E49" s="2108"/>
      <c r="F49" s="2108"/>
      <c r="G49" s="2108"/>
      <c r="H49" s="2108"/>
      <c r="I49" s="2109" t="str">
        <f>S48&amp;".1"</f>
        <v>....1</v>
      </c>
      <c r="J49" s="1373"/>
      <c r="K49" s="1373"/>
      <c r="L49" s="1376" t="s">
        <v>396</v>
      </c>
      <c r="M49" s="516"/>
      <c r="N49" s="516"/>
      <c r="O49" s="516"/>
      <c r="P49" s="2111">
        <v>1</v>
      </c>
      <c r="Q49" s="1361"/>
      <c r="R49" s="352"/>
      <c r="S49" s="1049"/>
      <c r="T49" s="1413"/>
      <c r="U49" s="1414"/>
      <c r="V49" s="2148"/>
      <c r="W49" s="2148"/>
      <c r="X49" s="2148"/>
      <c r="Y49" s="2148"/>
      <c r="Z49" s="2148"/>
      <c r="AA49" s="2149"/>
      <c r="AB49" s="2147"/>
      <c r="AC49" s="2148"/>
      <c r="AD49" s="2148"/>
      <c r="AE49" s="2148"/>
      <c r="AF49" s="2148"/>
      <c r="AG49" s="2148"/>
      <c r="AH49" s="2148"/>
      <c r="AI49" s="2148"/>
      <c r="AJ49" s="2148"/>
      <c r="AK49" s="2148"/>
      <c r="AL49" s="2148"/>
      <c r="AM49" s="2148"/>
      <c r="AN49" s="2148"/>
      <c r="AO49" s="2148"/>
      <c r="AP49" s="2148"/>
      <c r="AQ49" s="2148"/>
      <c r="AR49" s="2148"/>
      <c r="AS49" s="2148"/>
      <c r="AT49" s="2149"/>
      <c r="AU49" s="1415"/>
      <c r="AW49" s="506"/>
      <c r="AX49" s="506" t="str">
        <f>IF(T49="","",T49)</f>
        <v/>
      </c>
      <c r="AY49" s="506"/>
      <c r="AZ49" s="506"/>
    </row>
    <row s="2612" customFormat="1" customHeight="1" ht="0">
      <c r="A50" s="1373" t="s">
        <v>203</v>
      </c>
      <c r="B50" s="1373" t="s">
        <v>204</v>
      </c>
      <c r="C50" s="1373" t="s">
        <v>205</v>
      </c>
      <c r="D50" s="1373" t="s">
        <v>206</v>
      </c>
      <c r="E50" s="2108"/>
      <c r="F50" s="2108"/>
      <c r="G50" s="2108"/>
      <c r="H50" s="2108"/>
      <c r="I50" s="2110"/>
      <c r="J50" s="2109" t="str">
        <f>S48&amp;".1"</f>
        <v>....1</v>
      </c>
      <c r="K50" s="1373"/>
      <c r="L50" s="1376"/>
      <c r="M50" s="516"/>
      <c r="N50" s="516"/>
      <c r="O50" s="516"/>
      <c r="P50" s="2111"/>
      <c r="Q50" s="2111">
        <v>1</v>
      </c>
      <c r="R50" s="353"/>
      <c r="S50" s="1049"/>
      <c r="T50" s="1429"/>
      <c r="U50" s="1414"/>
      <c r="V50" s="2148"/>
      <c r="W50" s="2148"/>
      <c r="X50" s="2148"/>
      <c r="Y50" s="2148"/>
      <c r="Z50" s="2148"/>
      <c r="AA50" s="2149"/>
      <c r="AB50" s="2147"/>
      <c r="AC50" s="2148"/>
      <c r="AD50" s="2148"/>
      <c r="AE50" s="2148"/>
      <c r="AF50" s="2148"/>
      <c r="AG50" s="2148"/>
      <c r="AH50" s="2148"/>
      <c r="AI50" s="2148"/>
      <c r="AJ50" s="2148"/>
      <c r="AK50" s="2148"/>
      <c r="AL50" s="2148"/>
      <c r="AM50" s="2148"/>
      <c r="AN50" s="2148"/>
      <c r="AO50" s="2148"/>
      <c r="AP50" s="2148"/>
      <c r="AQ50" s="2148"/>
      <c r="AR50" s="2148"/>
      <c r="AS50" s="2148"/>
      <c r="AT50" s="2149"/>
      <c r="AU50" s="1415"/>
      <c r="AW50" s="506"/>
      <c r="AX50" s="506" t="str">
        <f>IF(T50="","",T50)</f>
        <v/>
      </c>
      <c r="AY50" s="506"/>
      <c r="AZ50" s="506"/>
    </row>
    <row customHeight="1" ht="21">
      <c r="A51" s="1393" t="s">
        <v>203</v>
      </c>
      <c r="B51" s="1393" t="s">
        <v>204</v>
      </c>
      <c r="C51" s="1393" t="s">
        <v>205</v>
      </c>
      <c r="D51" s="1393" t="s">
        <v>206</v>
      </c>
      <c r="E51" s="2108"/>
      <c r="F51" s="2108"/>
      <c r="G51" s="2108"/>
      <c r="H51" s="2108"/>
      <c r="I51" s="2110"/>
      <c r="J51" s="2110"/>
      <c r="K51" s="2109" t="str">
        <f>S48&amp;".1"</f>
        <v>....1</v>
      </c>
      <c r="L51" s="1394"/>
      <c r="P51" s="2111"/>
      <c r="Q51" s="2111"/>
      <c r="R51" s="353">
        <v>1</v>
      </c>
      <c r="S51" s="2184" t="str">
        <f>$K51</f>
        <v>....1</v>
      </c>
      <c r="T51" s="2181"/>
      <c r="U51" s="288"/>
      <c r="V51" s="757"/>
      <c r="W51" s="1285"/>
      <c r="X51" s="1774"/>
      <c r="Y51" s="1489" t="s">
        <v>61</v>
      </c>
      <c r="Z51" s="1774"/>
      <c r="AA51" s="1489" t="s">
        <v>61</v>
      </c>
      <c r="AB51" s="1981" t="s">
        <v>56</v>
      </c>
      <c r="AC51" s="2180"/>
      <c r="AD51" s="2057">
        <v>1</v>
      </c>
      <c r="AE51" s="2172" t="s">
        <v>24</v>
      </c>
      <c r="AF51" s="1981" t="s">
        <v>56</v>
      </c>
      <c r="AG51" s="2180"/>
      <c r="AH51" s="2057">
        <v>1</v>
      </c>
      <c r="AI51" s="2172" t="s">
        <v>24</v>
      </c>
      <c r="AJ51" s="1981" t="s">
        <v>56</v>
      </c>
      <c r="AK51" s="301"/>
      <c r="AL51" s="1367">
        <v>1</v>
      </c>
      <c r="AM51" s="1432"/>
      <c r="AN51" s="757"/>
      <c r="AO51" s="1285"/>
      <c r="AP51" s="1774"/>
      <c r="AQ51" s="1489" t="s">
        <v>61</v>
      </c>
      <c r="AR51" s="1774"/>
      <c r="AS51" s="1489" t="s">
        <v>61</v>
      </c>
      <c r="AT51" s="1378"/>
      <c r="AU51" s="2137" t="s">
        <v>475</v>
      </c>
      <c r="AV51" s="517">
        <f>STRCHECKDATE(V54:AT54)</f>
      </c>
      <c r="AW51" s="506"/>
      <c r="AX51" s="506" t="str">
        <f>IF(T51="","",T51)</f>
        <v/>
      </c>
      <c r="AY51" s="506"/>
      <c r="AZ51" s="506"/>
    </row>
    <row customHeight="1" ht="11.25">
      <c r="A52" s="1393" t="s">
        <v>203</v>
      </c>
      <c r="B52" s="1393"/>
      <c r="C52" s="1393"/>
      <c r="D52" s="1393"/>
      <c r="E52" s="2108"/>
      <c r="F52" s="2108"/>
      <c r="G52" s="2108"/>
      <c r="H52" s="2108"/>
      <c r="I52" s="2110"/>
      <c r="J52" s="2110"/>
      <c r="K52" s="2109"/>
      <c r="L52" s="1394"/>
      <c r="P52" s="2111"/>
      <c r="Q52" s="2111"/>
      <c r="R52" s="353"/>
      <c r="S52" s="2185"/>
      <c r="T52" s="2182"/>
      <c r="U52" s="288"/>
      <c r="V52" s="1423"/>
      <c r="W52" s="1526"/>
      <c r="X52" s="1423"/>
      <c r="Y52" s="1423"/>
      <c r="Z52" s="1423"/>
      <c r="AA52" s="1423"/>
      <c r="AB52" s="1981"/>
      <c r="AC52" s="2180"/>
      <c r="AD52" s="2057"/>
      <c r="AE52" s="2172"/>
      <c r="AF52" s="1981"/>
      <c r="AG52" s="2180"/>
      <c r="AH52" s="2057"/>
      <c r="AI52" s="2172"/>
      <c r="AJ52" s="1981"/>
      <c r="AK52" s="308"/>
      <c r="AL52" s="422"/>
      <c r="AM52" s="421" t="s">
        <v>459</v>
      </c>
      <c r="AN52" s="1423"/>
      <c r="AO52" s="1526"/>
      <c r="AP52" s="1423"/>
      <c r="AQ52" s="1423"/>
      <c r="AR52" s="1423"/>
      <c r="AS52" s="1423"/>
      <c r="AT52" s="1420"/>
      <c r="AU52" s="2138"/>
      <c r="AW52" s="506"/>
      <c r="AX52" s="506"/>
      <c r="AY52" s="506"/>
      <c r="AZ52" s="506"/>
    </row>
    <row customHeight="1" ht="11.25">
      <c r="A53" s="1393" t="s">
        <v>203</v>
      </c>
      <c r="B53" s="1393"/>
      <c r="C53" s="1393"/>
      <c r="D53" s="1393"/>
      <c r="E53" s="2108"/>
      <c r="F53" s="2108"/>
      <c r="G53" s="2108"/>
      <c r="H53" s="2108"/>
      <c r="I53" s="2110"/>
      <c r="J53" s="2110"/>
      <c r="K53" s="2109"/>
      <c r="L53" s="1394"/>
      <c r="P53" s="2111"/>
      <c r="Q53" s="2111"/>
      <c r="R53" s="353"/>
      <c r="S53" s="2185"/>
      <c r="T53" s="2182"/>
      <c r="U53" s="288"/>
      <c r="V53" s="1423"/>
      <c r="W53" s="1526"/>
      <c r="X53" s="1423"/>
      <c r="Y53" s="1423"/>
      <c r="Z53" s="1423"/>
      <c r="AA53" s="1423"/>
      <c r="AB53" s="1981"/>
      <c r="AC53" s="2180"/>
      <c r="AD53" s="2057"/>
      <c r="AE53" s="2172"/>
      <c r="AF53" s="1981"/>
      <c r="AG53" s="282"/>
      <c r="AH53" s="421"/>
      <c r="AI53" s="421" t="s">
        <v>460</v>
      </c>
      <c r="AJ53" s="1423"/>
      <c r="AK53" s="1423"/>
      <c r="AL53" s="1423"/>
      <c r="AM53" s="1423"/>
      <c r="AN53" s="1423"/>
      <c r="AO53" s="1526"/>
      <c r="AP53" s="1423"/>
      <c r="AQ53" s="1423"/>
      <c r="AR53" s="1423"/>
      <c r="AS53" s="1423"/>
      <c r="AT53" s="1420"/>
      <c r="AU53" s="2138"/>
      <c r="AW53" s="506"/>
      <c r="AX53" s="506"/>
      <c r="AY53" s="506"/>
      <c r="AZ53" s="506"/>
    </row>
    <row customHeight="1" ht="11.25">
      <c r="A54" s="1393" t="s">
        <v>203</v>
      </c>
      <c r="B54" s="1393" t="s">
        <v>204</v>
      </c>
      <c r="C54" s="1393" t="s">
        <v>205</v>
      </c>
      <c r="D54" s="1393" t="s">
        <v>206</v>
      </c>
      <c r="E54" s="2108"/>
      <c r="F54" s="2108"/>
      <c r="G54" s="2108"/>
      <c r="H54" s="2108"/>
      <c r="I54" s="2110"/>
      <c r="J54" s="2110"/>
      <c r="K54" s="2109"/>
      <c r="L54" s="1394"/>
      <c r="P54" s="2111"/>
      <c r="Q54" s="2111"/>
      <c r="R54" s="353"/>
      <c r="S54" s="2186"/>
      <c r="T54" s="2183"/>
      <c r="U54" s="288"/>
      <c r="V54" s="1423"/>
      <c r="W54" s="1424" t="str">
        <f>X51&amp;"-"&amp;Z51</f>
        <v>-</v>
      </c>
      <c r="X54" s="1423"/>
      <c r="Y54" s="1423"/>
      <c r="Z54" s="1423"/>
      <c r="AA54" s="1423"/>
      <c r="AB54" s="1981"/>
      <c r="AC54" s="302"/>
      <c r="AD54" s="304"/>
      <c r="AE54" s="421" t="s">
        <v>461</v>
      </c>
      <c r="AF54" s="1423"/>
      <c r="AG54" s="1423"/>
      <c r="AH54" s="1423"/>
      <c r="AI54" s="1423"/>
      <c r="AJ54" s="1423"/>
      <c r="AK54" s="1423"/>
      <c r="AL54" s="1423"/>
      <c r="AM54" s="1423"/>
      <c r="AN54" s="1423"/>
      <c r="AO54" s="1424" t="str">
        <f>AP51&amp;"-"&amp;AR51</f>
        <v>-</v>
      </c>
      <c r="AP54" s="1423"/>
      <c r="AQ54" s="1423"/>
      <c r="AR54" s="1423"/>
      <c r="AS54" s="1423"/>
      <c r="AT54" s="1379"/>
      <c r="AU54" s="2138"/>
      <c r="AW54" s="506"/>
      <c r="AX54" s="506" t="str">
        <f>IF(T54="","",T54)</f>
        <v/>
      </c>
      <c r="AY54" s="506"/>
      <c r="AZ54" s="506"/>
    </row>
    <row customHeight="1" ht="11.25">
      <c r="A55" s="1393" t="s">
        <v>203</v>
      </c>
      <c r="B55" s="1393" t="s">
        <v>204</v>
      </c>
      <c r="C55" s="1393" t="s">
        <v>205</v>
      </c>
      <c r="D55" s="1393" t="s">
        <v>206</v>
      </c>
      <c r="E55" s="2108"/>
      <c r="F55" s="2108"/>
      <c r="G55" s="2108"/>
      <c r="H55" s="2108"/>
      <c r="I55" s="2110"/>
      <c r="J55" s="2109"/>
      <c r="K55" s="1393"/>
      <c r="L55" s="1394"/>
      <c r="P55" s="2111"/>
      <c r="Q55" s="2111"/>
      <c r="R55" s="352"/>
      <c r="S55" s="1308"/>
      <c r="T55" s="275" t="s">
        <v>462</v>
      </c>
      <c r="U55" s="367"/>
      <c r="V55" s="367"/>
      <c r="W55" s="367"/>
      <c r="X55" s="367"/>
      <c r="Y55" s="367"/>
      <c r="Z55" s="367"/>
      <c r="AA55" s="319"/>
      <c r="AB55" s="1535"/>
      <c r="AC55" s="367"/>
      <c r="AD55" s="367"/>
      <c r="AE55" s="367"/>
      <c r="AF55" s="367"/>
      <c r="AG55" s="367"/>
      <c r="AH55" s="367"/>
      <c r="AI55" s="367"/>
      <c r="AJ55" s="367"/>
      <c r="AK55" s="367"/>
      <c r="AL55" s="367"/>
      <c r="AM55" s="367"/>
      <c r="AN55" s="367"/>
      <c r="AO55" s="367"/>
      <c r="AP55" s="367"/>
      <c r="AQ55" s="367"/>
      <c r="AR55" s="367"/>
      <c r="AS55" s="367"/>
      <c r="AT55" s="319"/>
      <c r="AU55" s="2139"/>
      <c r="AW55" s="506"/>
      <c r="AX55" s="506" t="str">
        <f>IF(T55="","",T55)</f>
        <v>Добавить строку</v>
      </c>
      <c r="AY55" s="506"/>
      <c r="AZ55" s="506"/>
    </row>
    <row s="2612" customFormat="1" customHeight="1" ht="0">
      <c r="A56" s="1373" t="s">
        <v>203</v>
      </c>
      <c r="B56" s="1373" t="s">
        <v>204</v>
      </c>
      <c r="C56" s="1373" t="s">
        <v>205</v>
      </c>
      <c r="D56" s="1373" t="s">
        <v>206</v>
      </c>
      <c r="E56" s="2108"/>
      <c r="F56" s="2108"/>
      <c r="G56" s="2108"/>
      <c r="H56" s="2108"/>
      <c r="I56" s="2109"/>
      <c r="J56" s="1373"/>
      <c r="K56" s="1373"/>
      <c r="L56" s="1376"/>
      <c r="M56" s="516"/>
      <c r="N56" s="516"/>
      <c r="O56" s="516"/>
      <c r="P56" s="2111"/>
      <c r="Q56" s="1361"/>
      <c r="R56" s="352"/>
      <c r="S56" s="1416"/>
      <c r="T56" s="1417" t="s">
        <v>405</v>
      </c>
      <c r="U56" s="1418"/>
      <c r="V56" s="1418"/>
      <c r="W56" s="1418"/>
      <c r="X56" s="1418"/>
      <c r="Y56" s="1418"/>
      <c r="Z56" s="1418"/>
      <c r="AA56" s="1418"/>
      <c r="AB56" s="1418"/>
      <c r="AC56" s="1418"/>
      <c r="AD56" s="1418"/>
      <c r="AE56" s="1418"/>
      <c r="AF56" s="1418"/>
      <c r="AG56" s="1418"/>
      <c r="AH56" s="1418"/>
      <c r="AI56" s="1418"/>
      <c r="AJ56" s="1418"/>
      <c r="AK56" s="1418"/>
      <c r="AL56" s="1418"/>
      <c r="AM56" s="1418"/>
      <c r="AN56" s="1418"/>
      <c r="AO56" s="1418"/>
      <c r="AP56" s="1418"/>
      <c r="AQ56" s="1418"/>
      <c r="AR56" s="1418"/>
      <c r="AS56" s="1418"/>
      <c r="AT56" s="1418"/>
      <c r="AU56" s="1419"/>
      <c r="AW56" s="506"/>
      <c r="AX56" s="506" t="str">
        <f>IF(T56="","",T56)</f>
        <v>Добавить группу потребителей</v>
      </c>
      <c r="AY56" s="506"/>
      <c r="AZ56" s="506"/>
    </row>
    <row s="2611" customFormat="1" customHeight="1" ht="0">
      <c r="A57" s="1373" t="s">
        <v>203</v>
      </c>
      <c r="B57" s="1373" t="s">
        <v>204</v>
      </c>
      <c r="C57" s="1373" t="s">
        <v>205</v>
      </c>
      <c r="D57" s="1373" t="s">
        <v>206</v>
      </c>
      <c r="E57" s="2108"/>
      <c r="F57" s="2108"/>
      <c r="G57" s="2108"/>
      <c r="H57" s="2107"/>
      <c r="I57" s="1373"/>
      <c r="J57" s="1373"/>
      <c r="K57" s="1373"/>
      <c r="L57" s="1376"/>
      <c r="M57" s="1345"/>
      <c r="N57" s="1345"/>
      <c r="O57" s="524"/>
      <c r="P57" s="385"/>
      <c r="Q57" s="1374"/>
      <c r="R57" s="1430"/>
      <c r="S57" s="1416"/>
      <c r="T57" s="1417"/>
      <c r="U57" s="1418"/>
      <c r="V57" s="1418"/>
      <c r="W57" s="1418"/>
      <c r="X57" s="1418"/>
      <c r="Y57" s="1418"/>
      <c r="Z57" s="1418"/>
      <c r="AA57" s="1418"/>
      <c r="AB57" s="1418"/>
      <c r="AC57" s="1418"/>
      <c r="AD57" s="1418"/>
      <c r="AE57" s="1418"/>
      <c r="AF57" s="1418"/>
      <c r="AG57" s="1418"/>
      <c r="AH57" s="1418"/>
      <c r="AI57" s="1418"/>
      <c r="AJ57" s="1418"/>
      <c r="AK57" s="1418"/>
      <c r="AL57" s="1418"/>
      <c r="AM57" s="1418"/>
      <c r="AN57" s="1418"/>
      <c r="AO57" s="1418"/>
      <c r="AP57" s="1418"/>
      <c r="AQ57" s="1418"/>
      <c r="AR57" s="1418"/>
      <c r="AS57" s="1418"/>
      <c r="AT57" s="1418"/>
      <c r="AU57" s="1419"/>
      <c r="AV57" s="517"/>
      <c r="AW57" s="506"/>
      <c r="AX57" s="506" t="str">
        <f>IF(T57="","",T57)</f>
        <v/>
      </c>
      <c r="AY57" s="506"/>
      <c r="AZ57" s="506"/>
    </row>
    <row s="3274" customFormat="1" customHeight="1" ht="0">
      <c r="A58" s="1373" t="s">
        <v>203</v>
      </c>
      <c r="B58" s="1373" t="s">
        <v>204</v>
      </c>
      <c r="C58" s="1373" t="s">
        <v>205</v>
      </c>
      <c r="D58" s="1344"/>
      <c r="E58" s="2108"/>
      <c r="F58" s="2108"/>
      <c r="G58" s="2107"/>
      <c r="H58" s="1344"/>
      <c r="I58" s="1344"/>
      <c r="J58" s="1344"/>
      <c r="K58" s="1344"/>
      <c r="L58" s="1369"/>
      <c r="M58" s="1345"/>
      <c r="N58" s="1345"/>
      <c r="P58" s="1346"/>
      <c r="Q58" s="1347"/>
      <c r="R58" s="1346"/>
      <c r="S58" s="1352"/>
      <c r="T58" s="1355" t="s">
        <v>167</v>
      </c>
      <c r="U58" s="1354"/>
      <c r="V58" s="1354"/>
      <c r="W58" s="1354"/>
      <c r="X58" s="1354"/>
      <c r="Y58" s="1354"/>
      <c r="Z58" s="1354"/>
      <c r="AA58" s="1354"/>
      <c r="AB58" s="1354"/>
      <c r="AC58" s="1354"/>
      <c r="AD58" s="1354"/>
      <c r="AE58" s="1354"/>
      <c r="AF58" s="1354"/>
      <c r="AG58" s="1354"/>
      <c r="AH58" s="1354"/>
      <c r="AI58" s="1354"/>
      <c r="AJ58" s="1354"/>
      <c r="AK58" s="1354"/>
      <c r="AL58" s="1354"/>
      <c r="AM58" s="1354"/>
      <c r="AN58" s="1354"/>
      <c r="AO58" s="1354"/>
      <c r="AP58" s="1354"/>
      <c r="AQ58" s="1354"/>
      <c r="AR58" s="1354"/>
      <c r="AS58" s="1354"/>
      <c r="AT58" s="1354"/>
      <c r="AU58" s="1354"/>
      <c r="AW58" s="795"/>
      <c r="AX58" s="795" t="str">
        <f>IF(T58="","",T58)</f>
        <v>Добавить источник для дифференциации</v>
      </c>
      <c r="AY58" s="795"/>
      <c r="AZ58" s="795"/>
    </row>
    <row s="3274" customFormat="1" customHeight="1" ht="0">
      <c r="A59" s="1373" t="s">
        <v>203</v>
      </c>
      <c r="B59" s="1373" t="s">
        <v>204</v>
      </c>
      <c r="C59" s="1344"/>
      <c r="D59" s="1344"/>
      <c r="E59" s="2108"/>
      <c r="F59" s="2107"/>
      <c r="G59" s="1344"/>
      <c r="H59" s="1344"/>
      <c r="I59" s="1344"/>
      <c r="J59" s="1344"/>
      <c r="K59" s="1344"/>
      <c r="L59" s="1369"/>
      <c r="M59" s="1351"/>
      <c r="N59" s="1351"/>
      <c r="P59" s="1346"/>
      <c r="Q59" s="1347"/>
      <c r="R59" s="1346"/>
      <c r="S59" s="1352"/>
      <c r="T59" s="1355" t="s">
        <v>168</v>
      </c>
      <c r="U59" s="1354"/>
      <c r="V59" s="1354"/>
      <c r="W59" s="1354"/>
      <c r="X59" s="1354"/>
      <c r="Y59" s="1354"/>
      <c r="Z59" s="1354"/>
      <c r="AA59" s="1354"/>
      <c r="AB59" s="1354"/>
      <c r="AC59" s="1354"/>
      <c r="AD59" s="1354"/>
      <c r="AE59" s="1354"/>
      <c r="AF59" s="1354"/>
      <c r="AG59" s="1354"/>
      <c r="AH59" s="1354"/>
      <c r="AI59" s="1354"/>
      <c r="AJ59" s="1354"/>
      <c r="AK59" s="1354"/>
      <c r="AL59" s="1354"/>
      <c r="AM59" s="1354"/>
      <c r="AN59" s="1354"/>
      <c r="AO59" s="1354"/>
      <c r="AP59" s="1354"/>
      <c r="AQ59" s="1354"/>
      <c r="AR59" s="1354"/>
      <c r="AS59" s="1354"/>
      <c r="AT59" s="1354"/>
      <c r="AU59" s="1354"/>
      <c r="AW59" s="795"/>
      <c r="AX59" s="795" t="str">
        <f>IF(T59="","",T59)</f>
        <v>Добавить централизованную систему для дифференциации</v>
      </c>
      <c r="AY59" s="795"/>
      <c r="AZ59" s="795"/>
    </row>
    <row s="2612" customFormat="1" customHeight="1" ht="0">
      <c r="A60" s="1373" t="s">
        <v>203</v>
      </c>
      <c r="B60" s="1373"/>
      <c r="C60" s="1373"/>
      <c r="D60" s="1373"/>
      <c r="E60" s="2108"/>
      <c r="F60" s="1373"/>
      <c r="G60" s="1373"/>
      <c r="H60" s="1373"/>
      <c r="I60" s="1373"/>
      <c r="J60" s="1373"/>
      <c r="K60" s="1373"/>
      <c r="L60" s="1376"/>
      <c r="M60" s="1351"/>
      <c r="N60" s="1351"/>
      <c r="O60" s="524"/>
      <c r="P60" s="385"/>
      <c r="Q60" s="1374"/>
      <c r="R60" s="385"/>
      <c r="S60" s="1352"/>
      <c r="T60" s="1355" t="s">
        <v>169</v>
      </c>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W60" s="506"/>
      <c r="AX60" s="506" t="str">
        <f>IF(T60="","",T60)</f>
        <v>Добавить территорию для дифференциации</v>
      </c>
      <c r="AY60" s="506"/>
      <c r="AZ60" s="506"/>
    </row>
    <row s="2612" customFormat="1" customHeight="1" ht="0">
      <c r="A61" s="1373" t="s">
        <v>203</v>
      </c>
      <c r="B61" s="1373"/>
      <c r="C61" s="1373"/>
      <c r="D61" s="1373"/>
      <c r="E61" s="2107"/>
      <c r="F61" s="1373"/>
      <c r="G61" s="1373"/>
      <c r="H61" s="1373"/>
      <c r="I61" s="1373"/>
      <c r="J61" s="1373"/>
      <c r="K61" s="1373"/>
      <c r="L61" s="1376"/>
      <c r="M61" s="1351"/>
      <c r="N61" s="1351"/>
      <c r="O61" s="524"/>
      <c r="P61" s="385"/>
      <c r="Q61" s="1374"/>
      <c r="R61" s="385"/>
      <c r="S61" s="1352"/>
      <c r="T61" s="1355" t="s">
        <v>169</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W61" s="506"/>
      <c r="AX61" s="506" t="str">
        <f>IF(T61="","",T61)</f>
        <v>Добавить территорию для дифференциации</v>
      </c>
      <c r="AY61" s="506"/>
      <c r="AZ61" s="506"/>
    </row>
    <row s="3274" customFormat="1" customHeight="1" ht="0">
      <c r="A62" s="1344"/>
      <c r="B62" s="1344"/>
      <c r="C62" s="1344"/>
      <c r="D62" s="1344"/>
      <c r="E62" s="1373"/>
      <c r="F62" s="1344"/>
      <c r="G62" s="1344"/>
      <c r="H62" s="1344"/>
      <c r="I62" s="1344"/>
      <c r="J62" s="1344"/>
      <c r="K62" s="1344"/>
      <c r="L62" s="1369"/>
      <c r="M62" s="1351"/>
      <c r="N62" s="1351"/>
      <c r="P62" s="1346"/>
      <c r="Q62" s="1347"/>
      <c r="R62" s="1346"/>
      <c r="S62" s="1352"/>
      <c r="T62" s="1355" t="s">
        <v>170</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W62" s="795"/>
      <c r="AX62" s="795" t="str">
        <f>IF(T62="","",T62)</f>
        <v>Добавить наименование тарифа</v>
      </c>
      <c r="AY62" s="795"/>
      <c r="AZ62" s="795"/>
    </row>
    <row customHeight="1" ht="11.25">
      <c r="M63" s="1168"/>
      <c r="N63" s="1168"/>
      <c r="O63" s="543"/>
      <c r="P63" s="1168"/>
      <c r="Q63" s="1168"/>
      <c r="R63" s="1163"/>
      <c r="S63" s="1163"/>
      <c r="AV63" s="1163"/>
      <c r="AW63" s="1163"/>
      <c r="AX63" s="1163"/>
      <c r="AY63" s="1163"/>
      <c r="AZ63" s="1163"/>
    </row>
    <row customHeight="1" ht="18.75">
      <c r="O64" s="543"/>
      <c r="S64" s="1273"/>
      <c r="T64" s="2106"/>
      <c r="U64" s="2106"/>
      <c r="V64" s="2106"/>
      <c r="W64" s="2106"/>
      <c r="X64" s="2106"/>
      <c r="Y64" s="2106"/>
      <c r="Z64" s="2106"/>
      <c r="AA64" s="2106"/>
      <c r="AB64" s="2106"/>
      <c r="AC64" s="2106"/>
      <c r="AD64" s="2106"/>
      <c r="AE64" s="2106"/>
      <c r="AF64" s="2106"/>
      <c r="AG64" s="2106"/>
      <c r="AH64" s="2106"/>
      <c r="AI64" s="2106"/>
      <c r="AJ64" s="2106"/>
      <c r="AK64" s="2106"/>
      <c r="AL64" s="2106"/>
      <c r="AM64" s="2106"/>
      <c r="AN64" s="2106"/>
      <c r="AO64" s="2106"/>
      <c r="AP64" s="2106"/>
      <c r="AQ64" s="2106"/>
      <c r="AR64" s="2106"/>
      <c r="AS64" s="2106"/>
      <c r="AT64" s="2106"/>
      <c r="AU64" s="2106"/>
    </row>
    <row customHeight="1" ht="19.5">
      <c r="O65" s="54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row>
    <row customHeight="1" ht="14.25">
      <c r="O66" s="543"/>
      <c r="T66" s="1363"/>
      <c r="U66" s="1363"/>
      <c r="V66" s="1363"/>
      <c r="W66" s="1363"/>
      <c r="X66" s="1363"/>
      <c r="Y66" s="1363"/>
      <c r="Z66" s="1363"/>
      <c r="AA66" s="1363"/>
      <c r="AB66" s="1363"/>
      <c r="AC66" s="1363"/>
      <c r="AD66" s="1363"/>
      <c r="AE66" s="1363"/>
      <c r="AF66" s="1363"/>
      <c r="AG66" s="1363"/>
      <c r="AH66" s="1363"/>
      <c r="AI66" s="1363"/>
      <c r="AJ66" s="1363"/>
      <c r="AK66" s="1363"/>
      <c r="AL66" s="1363"/>
      <c r="AM66" s="1363"/>
      <c r="AN66" s="1363"/>
      <c r="AO66" s="1363"/>
      <c r="AP66" s="1363"/>
      <c r="AQ66" s="1363"/>
      <c r="AR66" s="1363"/>
      <c r="AS66" s="1363"/>
      <c r="AT66" s="1363"/>
      <c r="AU66" s="1363"/>
    </row>
    <row customHeight="1" ht="18.75">
      <c r="O67" s="54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row>
    <row customHeight="1" ht="15.75">
      <c r="O68" s="543"/>
      <c r="T68" s="2106"/>
      <c r="U68" s="2106"/>
      <c r="V68" s="2106"/>
      <c r="W68" s="2106"/>
      <c r="X68" s="2106"/>
      <c r="Y68" s="2106"/>
      <c r="Z68" s="2106"/>
      <c r="AA68" s="2106"/>
      <c r="AB68" s="2106"/>
      <c r="AC68" s="2106"/>
      <c r="AD68" s="2106"/>
      <c r="AE68" s="2106"/>
      <c r="AF68" s="2106"/>
      <c r="AG68" s="2106"/>
      <c r="AH68" s="2106"/>
      <c r="AI68" s="2106"/>
      <c r="AJ68" s="2106"/>
      <c r="AK68" s="2106"/>
      <c r="AL68" s="2106"/>
      <c r="AM68" s="2106"/>
      <c r="AN68" s="2106"/>
      <c r="AO68" s="2106"/>
      <c r="AP68" s="2106"/>
      <c r="AQ68" s="2106"/>
      <c r="AR68" s="2106"/>
      <c r="AS68" s="2106"/>
      <c r="AT68" s="2106"/>
      <c r="AU68" s="2106"/>
    </row>
    <row customHeight="1" ht="14.25">
      <c r="O69" s="543"/>
    </row>
  </sheetData>
  <sheetProtection formatColumns="0" formatRows="0" autoFilter="0" sort="0" insertRows="0" insertColumns="1" deleteRows="0" deleteColumns="0"/>
  <mergeCells count="118">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s>
  <dataValidations count="9">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6278DE-A728-E047-3C08-E566023AEA1C}"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93" width="10.57421875" hidden="1"/>
    <col min="2" max="2" style="3293" width="11.00390625" hidden="1" customWidth="1"/>
    <col min="3" max="3" style="3293" width="10.57421875" hidden="1"/>
    <col min="4" max="4" style="3293" width="11.8515625" hidden="1" customWidth="1"/>
    <col min="5" max="5" style="3293" width="10.00390625" hidden="1" customWidth="1"/>
    <col min="6" max="6" style="3293" width="8.7109375" hidden="1" customWidth="1"/>
    <col min="7" max="7" style="3293" width="7.57421875" hidden="1" customWidth="1"/>
    <col min="8" max="8" style="3293" width="11.421875" hidden="1" customWidth="1"/>
    <col min="9" max="9" style="3293" width="14.140625" hidden="1" customWidth="1"/>
    <col min="10" max="10" style="3293" width="9.8515625" hidden="1" customWidth="1"/>
    <col min="11" max="11" style="3293" width="14.7109375" hidden="1" customWidth="1"/>
    <col min="12" max="12" style="3964" width="19.140625" hidden="1" customWidth="1"/>
    <col min="13" max="14" style="3295" width="12.28125" hidden="1" customWidth="1"/>
    <col min="15" max="15" style="3295" width="23.421875" hidden="1" customWidth="1"/>
    <col min="16" max="16" style="3974" width="3.7109375" customWidth="1"/>
    <col min="17" max="18" style="3372" width="3.7109375" customWidth="1"/>
    <col min="19" max="19" style="3373" width="12.7109375" customWidth="1"/>
    <col min="20" max="20" style="2941" width="35.7109375" customWidth="1"/>
    <col min="21" max="21" style="2941" width="0.140625" customWidth="1"/>
    <col min="22" max="24" style="2941" width="24.7109375" hidden="1" customWidth="1"/>
    <col min="25" max="25" style="2941" width="11.7109375" hidden="1" customWidth="1"/>
    <col min="26" max="26" style="2941" width="3.7109375" hidden="1" customWidth="1"/>
    <col min="27" max="27" style="2941" width="11.7109375" hidden="1" customWidth="1"/>
    <col min="28" max="28" style="2941" width="8.57421875" hidden="1" customWidth="1"/>
    <col min="29" max="31" style="2941" width="24.7109375" customWidth="1"/>
    <col min="32" max="32" style="2941" width="11.7109375" customWidth="1"/>
    <col min="33" max="33" style="2941" width="3.7109375" customWidth="1"/>
    <col min="34" max="34" style="2941" width="11.7109375" customWidth="1"/>
    <col min="35" max="35" style="2941" width="8.57421875" hidden="1" customWidth="1"/>
    <col min="36" max="36" style="2941" width="4.7109375" customWidth="1"/>
    <col min="37" max="37" style="2941" width="115.7109375" customWidth="1"/>
    <col min="38" max="39" style="2612" width="10.57421875"/>
    <col min="40" max="40" style="2612" width="11.140625" customWidth="1"/>
    <col min="41" max="42" style="2612"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55">
        <f>INDEX(PT_DIFFERENTIATION_NUM_NTAR,MATCH(A2,PT_DIFFERENTIATION_NTAR_ID,0))</f>
      </c>
      <c r="T2" s="286" t="s">
        <v>122</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53"/>
      <c r="Q3" s="348"/>
      <c r="R3" s="349"/>
      <c r="S3" s="1455">
        <f>INDEX(PT_DIFFERENTIATION_NUM_TER,MATCH(B3,PT_DIFFERENTIATION_TER_ID,0))</f>
      </c>
      <c r="T3" s="298" t="s">
        <v>390</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391</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55">
        <f>INDEX(PT_DIFFERENTIATION_NUM_CS,MATCH(C4,PT_DIFFERENTIATION_CS_ID,0))</f>
      </c>
      <c r="T4" s="299" t="s">
        <v>476</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477</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52"/>
      <c r="R5" s="352"/>
      <c r="S5" s="1455">
        <f>$I5</f>
      </c>
      <c r="T5" s="273" t="s">
        <v>478</v>
      </c>
      <c r="U5" s="288"/>
      <c r="V5" s="2194"/>
      <c r="W5" s="2195"/>
      <c r="X5" s="2195"/>
      <c r="Y5" s="2195"/>
      <c r="Z5" s="2195"/>
      <c r="AA5" s="2195"/>
      <c r="AB5" s="2196"/>
      <c r="AC5" s="2197"/>
      <c r="AD5" s="2198"/>
      <c r="AE5" s="2198"/>
      <c r="AF5" s="2198"/>
      <c r="AG5" s="2198"/>
      <c r="AH5" s="2198"/>
      <c r="AI5" s="2198"/>
      <c r="AJ5" s="2199"/>
      <c r="AK5" s="1286" t="s">
        <v>479</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399</v>
      </c>
      <c r="P6" s="2111"/>
      <c r="Q6" s="2111">
        <v>1</v>
      </c>
      <c r="R6" s="353"/>
      <c r="S6" s="1455">
        <f>$J6</f>
      </c>
      <c r="T6" s="274" t="s">
        <v>400</v>
      </c>
      <c r="U6" s="288"/>
      <c r="V6" s="2095"/>
      <c r="W6" s="2096"/>
      <c r="X6" s="2096"/>
      <c r="Y6" s="2096"/>
      <c r="Z6" s="2096"/>
      <c r="AA6" s="2096"/>
      <c r="AB6" s="2097"/>
      <c r="AC6" s="2095"/>
      <c r="AD6" s="2096"/>
      <c r="AE6" s="2096"/>
      <c r="AF6" s="2096"/>
      <c r="AG6" s="2096"/>
      <c r="AH6" s="2096"/>
      <c r="AI6" s="2096"/>
      <c r="AJ6" s="2097"/>
      <c r="AK6" s="1337" t="s">
        <v>480</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55">
        <f>$K7</f>
      </c>
      <c r="T7" s="1467"/>
      <c r="U7" s="288"/>
      <c r="V7" s="757"/>
      <c r="W7" s="757"/>
      <c r="X7" s="1285"/>
      <c r="Y7" s="2112"/>
      <c r="Z7" s="1981" t="s">
        <v>61</v>
      </c>
      <c r="AA7" s="2112"/>
      <c r="AB7" s="1981" t="s">
        <v>61</v>
      </c>
      <c r="AC7" s="757"/>
      <c r="AD7" s="757"/>
      <c r="AE7" s="1285"/>
      <c r="AF7" s="2112"/>
      <c r="AG7" s="1981" t="s">
        <v>61</v>
      </c>
      <c r="AH7" s="2114"/>
      <c r="AI7" s="1981" t="s">
        <v>61</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54"/>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481</v>
      </c>
      <c r="U9" s="367"/>
      <c r="V9" s="367"/>
      <c r="W9" s="367"/>
      <c r="X9" s="367"/>
      <c r="Y9" s="367"/>
      <c r="Z9" s="367"/>
      <c r="AA9" s="367"/>
      <c r="AB9" s="367"/>
      <c r="AC9" s="367"/>
      <c r="AD9" s="367"/>
      <c r="AE9" s="367"/>
      <c r="AF9" s="367"/>
      <c r="AG9" s="367"/>
      <c r="AH9" s="367"/>
      <c r="AI9" s="367"/>
      <c r="AJ9" s="367"/>
      <c r="AK9" s="1286" t="s">
        <v>482</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52"/>
      <c r="R10" s="352"/>
      <c r="S10" s="1308"/>
      <c r="T10" s="364" t="s">
        <v>405</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14.25" hidden="1">
      <c r="A11" s="1393"/>
      <c r="B11" s="1393"/>
      <c r="C11" s="1393"/>
      <c r="D11" s="1393"/>
      <c r="E11" s="2108"/>
      <c r="F11" s="2108"/>
      <c r="G11" s="2108"/>
      <c r="H11" s="2107"/>
      <c r="I11" s="1393"/>
      <c r="J11" s="1393"/>
      <c r="K11" s="1393"/>
      <c r="L11" s="1394"/>
      <c r="M11" s="1395"/>
      <c r="N11" s="1395"/>
      <c r="O11" s="543"/>
      <c r="P11" s="356"/>
      <c r="Q11" s="376"/>
      <c r="R11" s="351"/>
      <c r="S11" s="1308"/>
      <c r="T11" s="372" t="s">
        <v>483</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4" customFormat="1" customHeight="1" ht="14.25" hidden="1">
      <c r="A12" s="1373"/>
      <c r="B12" s="1373"/>
      <c r="C12" s="1344"/>
      <c r="D12" s="1344"/>
      <c r="E12" s="2108"/>
      <c r="F12" s="2107"/>
      <c r="G12" s="1344"/>
      <c r="H12" s="1344"/>
      <c r="I12" s="1344"/>
      <c r="J12" s="1344"/>
      <c r="K12" s="1344"/>
      <c r="L12" s="1456"/>
      <c r="M12" s="1351"/>
      <c r="N12" s="1351"/>
      <c r="P12" s="1346"/>
      <c r="Q12" s="1347"/>
      <c r="R12" s="1346"/>
      <c r="S12" s="1352"/>
      <c r="T12" s="1355" t="s">
        <v>168</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2"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169</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61</v>
      </c>
      <c r="AH15" s="2105"/>
      <c r="AI15" s="2104" t="s">
        <v>61</v>
      </c>
    </row>
    <row customHeight="1" ht="14.25" hidden="1">
      <c r="AC16" s="1390"/>
      <c r="AD16" s="1390"/>
      <c r="AE16" s="324" t="str">
        <f>AF15&amp;"-"&amp;AH15</f>
        <v>-</v>
      </c>
      <c r="AF16" s="2104"/>
      <c r="AG16" s="2104"/>
      <c r="AH16" s="2104"/>
      <c r="AI16" s="2104"/>
    </row>
    <row customHeight="1" ht="14.25" hidden="1">
      <c r="AI17" s="323"/>
    </row>
    <row s="3293" customFormat="1" customHeight="1" ht="22.5" hidden="1">
      <c r="L18" s="1451"/>
      <c r="M18" s="1392"/>
      <c r="N18" s="1392"/>
      <c r="O18" s="1397" t="s">
        <v>407</v>
      </c>
      <c r="P18" s="1392"/>
      <c r="Q18" s="1401"/>
      <c r="R18" s="1401"/>
      <c r="S18" s="735"/>
      <c r="Y18" s="1397"/>
      <c r="AA18" s="1397"/>
      <c r="AB18" s="1396"/>
      <c r="AF18" s="1397"/>
      <c r="AH18" s="1397"/>
      <c r="AI18" s="1396"/>
      <c r="AL18" s="517"/>
      <c r="AM18" s="517"/>
      <c r="AN18" s="517"/>
      <c r="AO18" s="517"/>
      <c r="AP18" s="517"/>
    </row>
    <row s="3293" customFormat="1" customHeight="1" ht="14.25" hidden="1">
      <c r="L19" s="1451"/>
      <c r="M19" s="1392"/>
      <c r="N19" s="1392"/>
      <c r="O19" s="1392"/>
      <c r="P19" s="1392"/>
      <c r="Q19" s="1401"/>
      <c r="R19" s="1401"/>
      <c r="S19" s="735"/>
      <c r="AB19" s="1396"/>
      <c r="AI19" s="1396"/>
      <c r="AL19" s="517"/>
      <c r="AM19" s="517"/>
      <c r="AN19" s="517"/>
      <c r="AO19" s="517"/>
      <c r="AP19" s="517"/>
    </row>
    <row s="3293" customFormat="1" customHeight="1" ht="12" hidden="1">
      <c r="L20" s="1451"/>
      <c r="M20" s="1392"/>
      <c r="N20" s="1392"/>
      <c r="O20" s="1394" t="s">
        <v>408</v>
      </c>
      <c r="P20" s="1392"/>
      <c r="Q20" s="1472"/>
      <c r="R20" s="1472"/>
      <c r="S20" s="735"/>
      <c r="T20" s="1168" t="s">
        <v>409</v>
      </c>
      <c r="Z20" s="172" t="s">
        <v>410</v>
      </c>
      <c r="AB20" s="172" t="s">
        <v>411</v>
      </c>
      <c r="AC20" s="1168" t="s">
        <v>409</v>
      </c>
      <c r="AG20" s="172" t="s">
        <v>412</v>
      </c>
      <c r="AI20" s="172" t="s">
        <v>411</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МУП г. Азова "Теплоэнерго"</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06"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Региональная служба по тарифам Ростовской области</v>
      </c>
      <c r="W27" s="2100"/>
      <c r="X27" s="2100"/>
      <c r="Y27" s="2100"/>
      <c r="Z27" s="2100"/>
      <c r="AA27" s="2100"/>
      <c r="AB27" s="322"/>
      <c r="AC27" s="2100" t="str">
        <f>IF(TITLE_NAME_OR_PR_CHANGE="",IF(TITLE_NAME_OR_PR="","",TITLE_NAME_OR_PR),TITLE_NAME_OR_PR_CHANGE)</f>
        <v>Региональная служба по тарифам Ростовской области</v>
      </c>
      <c r="AD27" s="2100"/>
      <c r="AE27" s="2100"/>
      <c r="AF27" s="2100"/>
      <c r="AG27" s="2100"/>
      <c r="AH27" s="2100"/>
      <c r="AI27" s="322"/>
      <c r="AJ27" s="322"/>
      <c r="AK27" s="268"/>
      <c r="AL27" s="368"/>
      <c r="AM27" s="368"/>
      <c r="AN27" s="368"/>
      <c r="AO27" s="368"/>
      <c r="AP27" s="368"/>
    </row>
    <row s="3306" customFormat="1" customHeight="1" ht="18.75">
      <c r="A28" s="1398"/>
      <c r="B28" s="1398"/>
      <c r="C28" s="1398"/>
      <c r="D28" s="1398"/>
      <c r="E28" s="1398"/>
      <c r="F28" s="1398"/>
      <c r="G28" s="1398"/>
      <c r="H28" s="1398"/>
      <c r="I28" s="1398"/>
      <c r="J28" s="1398"/>
      <c r="K28" s="1398"/>
      <c r="L28" s="1399"/>
      <c r="M28" s="1398"/>
      <c r="N28" s="1398"/>
      <c r="O28" s="1398"/>
      <c r="S28" s="2098" t="s">
        <v>413</v>
      </c>
      <c r="T28" s="2098"/>
      <c r="U28" s="1402"/>
      <c r="V28" s="2099" t="str">
        <f>IF(TITLE_DATE_PR_CHANGE="",IF(TITLE_DATE_PR="","",TITLE_DATE_PR),TITLE_DATE_PR_CHANGE)</f>
        <v>45245.61800925926</v>
      </c>
      <c r="W28" s="2099"/>
      <c r="X28" s="2099"/>
      <c r="Y28" s="2099"/>
      <c r="Z28" s="2099"/>
      <c r="AA28" s="2099"/>
      <c r="AB28" s="322"/>
      <c r="AC28" s="2099" t="str">
        <f>IF(TITLE_DATE_PR_CHANGE="",IF(TITLE_DATE_PR="","",TITLE_DATE_PR),TITLE_DATE_PR_CHANGE)</f>
        <v>45245.61800925926</v>
      </c>
      <c r="AD28" s="2099"/>
      <c r="AE28" s="2099"/>
      <c r="AF28" s="2099"/>
      <c r="AG28" s="2099"/>
      <c r="AH28" s="2099"/>
      <c r="AI28" s="322"/>
      <c r="AJ28" s="322"/>
      <c r="AK28" s="268"/>
      <c r="AL28" s="368"/>
      <c r="AM28" s="368"/>
      <c r="AN28" s="368"/>
      <c r="AO28" s="368"/>
      <c r="AP28" s="368"/>
    </row>
    <row s="3306" customFormat="1" customHeight="1" ht="18.75">
      <c r="A29" s="1398"/>
      <c r="B29" s="1398"/>
      <c r="C29" s="1398"/>
      <c r="D29" s="1398"/>
      <c r="E29" s="1398"/>
      <c r="F29" s="1398"/>
      <c r="G29" s="1398"/>
      <c r="H29" s="1398"/>
      <c r="I29" s="1398"/>
      <c r="J29" s="1398"/>
      <c r="K29" s="1398"/>
      <c r="L29" s="1399"/>
      <c r="M29" s="1398"/>
      <c r="N29" s="1398"/>
      <c r="O29" s="1398"/>
      <c r="S29" s="2098" t="s">
        <v>414</v>
      </c>
      <c r="T29" s="2098"/>
      <c r="U29" s="1402"/>
      <c r="V29" s="2100" t="str">
        <f>IF(TITLE_NUMBER_PR_CHANGE="",IF(TITLE_NUMBER_PR="","",TITLE_NUMBER_PR),TITLE_NUMBER_PR_CHANGE)</f>
        <v>550</v>
      </c>
      <c r="W29" s="2100"/>
      <c r="X29" s="2100"/>
      <c r="Y29" s="2100"/>
      <c r="Z29" s="2100"/>
      <c r="AA29" s="2100"/>
      <c r="AB29" s="322"/>
      <c r="AC29" s="2100" t="str">
        <f>IF(TITLE_NUMBER_PR_CHANGE="",IF(TITLE_NUMBER_PR="","",TITLE_NUMBER_PR),TITLE_NUMBER_PR_CHANGE)</f>
        <v>550</v>
      </c>
      <c r="AD29" s="2100"/>
      <c r="AE29" s="2100"/>
      <c r="AF29" s="2100"/>
      <c r="AG29" s="2100"/>
      <c r="AH29" s="2100"/>
      <c r="AI29" s="322"/>
      <c r="AJ29" s="322"/>
      <c r="AK29" s="268"/>
      <c r="AL29" s="368"/>
      <c r="AM29" s="368"/>
      <c r="AN29" s="368"/>
      <c r="AO29" s="368"/>
      <c r="AP29" s="368"/>
    </row>
    <row s="3306"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https://rst.donland.ru</v>
      </c>
      <c r="W30" s="2100"/>
      <c r="X30" s="2100"/>
      <c r="Y30" s="2100"/>
      <c r="Z30" s="2100"/>
      <c r="AA30" s="2100"/>
      <c r="AB30" s="322"/>
      <c r="AC30" s="2100" t="str">
        <f>IF(TITLE_IST_PUB_CHANGE="",IF(TITLE_IST_PUB="","",TITLE_IST_PUB),TITLE_IST_PUB_CHANGE)</f>
        <v>https://rst.donland.ru</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06" customFormat="1" customHeight="1" ht="18.75" hidden="1">
      <c r="A32" s="1398"/>
      <c r="B32" s="1398"/>
      <c r="C32" s="1398"/>
      <c r="D32" s="1398"/>
      <c r="E32" s="1398"/>
      <c r="F32" s="1398"/>
      <c r="G32" s="1398"/>
      <c r="H32" s="1398"/>
      <c r="I32" s="1398"/>
      <c r="J32" s="1398"/>
      <c r="K32" s="1398"/>
      <c r="L32" s="1399"/>
      <c r="M32" s="1398"/>
      <c r="N32" s="1398"/>
      <c r="O32" s="1398"/>
      <c r="S32" s="2098" t="s">
        <v>415</v>
      </c>
      <c r="T32" s="2098"/>
      <c r="U32" s="1402"/>
      <c r="V32" s="2099" t="str">
        <f>IF(TITLE_DATE_PR_CHANGE="",IF(TITLE_DATE_PR="","",TITLE_DATE_PR),TITLE_DATE_PR_CHANGE)</f>
        <v>45245.61800925926</v>
      </c>
      <c r="W32" s="2099"/>
      <c r="X32" s="2099"/>
      <c r="Y32" s="2099"/>
      <c r="Z32" s="2099"/>
      <c r="AA32" s="2099"/>
      <c r="AB32" s="322"/>
      <c r="AC32" s="2099" t="str">
        <f>IF(TITLE_DATE_PR_CHANGE="",IF(TITLE_DATE_PR="","",TITLE_DATE_PR),TITLE_DATE_PR_CHANGE)</f>
        <v>45245.61800925926</v>
      </c>
      <c r="AD32" s="2099"/>
      <c r="AE32" s="2099"/>
      <c r="AF32" s="2099"/>
      <c r="AG32" s="2099"/>
      <c r="AH32" s="2099"/>
      <c r="AI32" s="322"/>
      <c r="AJ32" s="322"/>
      <c r="AK32" s="268"/>
      <c r="AL32" s="368"/>
      <c r="AM32" s="368"/>
      <c r="AN32" s="368"/>
      <c r="AO32" s="368"/>
      <c r="AP32" s="368"/>
    </row>
    <row s="3306" customFormat="1" customHeight="1" ht="18.75" hidden="1">
      <c r="A33" s="1398"/>
      <c r="B33" s="1398"/>
      <c r="C33" s="1398"/>
      <c r="D33" s="1398"/>
      <c r="E33" s="1398"/>
      <c r="F33" s="1398"/>
      <c r="G33" s="1398"/>
      <c r="H33" s="1398"/>
      <c r="I33" s="1398"/>
      <c r="J33" s="1398"/>
      <c r="K33" s="1398"/>
      <c r="L33" s="1399"/>
      <c r="M33" s="1398"/>
      <c r="N33" s="1398"/>
      <c r="O33" s="1398"/>
      <c r="S33" s="2098" t="s">
        <v>416</v>
      </c>
      <c r="T33" s="2098"/>
      <c r="U33" s="1402"/>
      <c r="V33" s="2100" t="str">
        <f>IF(TITLE_NUMBER_PR_CHANGE="",IF(TITLE_NUMBER_PR="","",TITLE_NUMBER_PR),TITLE_NUMBER_PR_CHANGE)</f>
        <v>550</v>
      </c>
      <c r="W33" s="2100"/>
      <c r="X33" s="2100"/>
      <c r="Y33" s="2100"/>
      <c r="Z33" s="2100"/>
      <c r="AA33" s="2100"/>
      <c r="AB33" s="322"/>
      <c r="AC33" s="2100" t="str">
        <f>IF(TITLE_NUMBER_PR_CHANGE="",IF(TITLE_NUMBER_PR="","",TITLE_NUMBER_PR),TITLE_NUMBER_PR_CHANGE)</f>
        <v>550</v>
      </c>
      <c r="AD33" s="2100"/>
      <c r="AE33" s="2100"/>
      <c r="AF33" s="2100"/>
      <c r="AG33" s="2100"/>
      <c r="AH33" s="2100"/>
      <c r="AI33" s="322"/>
      <c r="AJ33" s="322"/>
      <c r="AK33" s="268"/>
      <c r="AL33" s="368"/>
      <c r="AM33" s="368"/>
      <c r="AN33" s="368"/>
      <c r="AO33" s="368"/>
      <c r="AP33" s="368"/>
    </row>
    <row s="3306" customFormat="1" customHeight="1" ht="0.75">
      <c r="A34" s="1398"/>
      <c r="B34" s="1398"/>
      <c r="C34" s="1398"/>
      <c r="D34" s="1398"/>
      <c r="E34" s="1398"/>
      <c r="F34" s="1398"/>
      <c r="G34" s="1398"/>
      <c r="H34" s="1398"/>
      <c r="I34" s="1398"/>
      <c r="J34" s="1398"/>
      <c r="K34" s="1398"/>
      <c r="L34" s="1399"/>
      <c r="M34" s="1398"/>
      <c r="N34" s="1398"/>
      <c r="O34" s="1398"/>
      <c r="S34" s="318"/>
      <c r="T34" s="318"/>
      <c r="U34" s="1385"/>
      <c r="V34" s="322"/>
      <c r="W34" s="322"/>
      <c r="X34" s="322"/>
      <c r="Y34" s="322"/>
      <c r="Z34" s="322"/>
      <c r="AA34" s="322"/>
      <c r="AB34" s="266" t="s">
        <v>417</v>
      </c>
      <c r="AC34" s="322"/>
      <c r="AD34" s="322"/>
      <c r="AE34" s="322"/>
      <c r="AF34" s="322"/>
      <c r="AG34" s="322"/>
      <c r="AH34" s="322"/>
      <c r="AI34" s="266" t="s">
        <v>417</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291</v>
      </c>
      <c r="T36" s="1971"/>
      <c r="U36" s="1971"/>
      <c r="V36" s="1971"/>
      <c r="W36" s="1971"/>
      <c r="X36" s="1971"/>
      <c r="Y36" s="1971"/>
      <c r="Z36" s="1971"/>
      <c r="AA36" s="1971"/>
      <c r="AB36" s="1971"/>
      <c r="AC36" s="1971"/>
      <c r="AD36" s="1971"/>
      <c r="AE36" s="1971"/>
      <c r="AF36" s="1971"/>
      <c r="AG36" s="1971"/>
      <c r="AH36" s="1971"/>
      <c r="AI36" s="1971"/>
      <c r="AJ36" s="1971"/>
      <c r="AK36" s="1971" t="s">
        <v>292</v>
      </c>
    </row>
    <row customHeight="1" ht="14.25">
      <c r="Q37" s="377"/>
      <c r="R37" s="377"/>
      <c r="S37" s="2125" t="s">
        <v>87</v>
      </c>
      <c r="T37" s="2062" t="s">
        <v>418</v>
      </c>
      <c r="U37" s="289"/>
      <c r="V37" s="2126" t="s">
        <v>419</v>
      </c>
      <c r="W37" s="2127"/>
      <c r="X37" s="2127"/>
      <c r="Y37" s="2127"/>
      <c r="Z37" s="2127"/>
      <c r="AA37" s="2128"/>
      <c r="AB37" s="2129" t="s">
        <v>420</v>
      </c>
      <c r="AC37" s="2126" t="s">
        <v>419</v>
      </c>
      <c r="AD37" s="2127"/>
      <c r="AE37" s="2127"/>
      <c r="AF37" s="2127"/>
      <c r="AG37" s="2127"/>
      <c r="AH37" s="2128"/>
      <c r="AI37" s="2129" t="s">
        <v>421</v>
      </c>
      <c r="AJ37" s="2132" t="s">
        <v>422</v>
      </c>
      <c r="AK37" s="1971"/>
    </row>
    <row customHeight="1" ht="33.75">
      <c r="Q38" s="377"/>
      <c r="R38" s="377"/>
      <c r="S38" s="2125"/>
      <c r="T38" s="2062"/>
      <c r="U38" s="1038"/>
      <c r="V38" s="1382" t="s">
        <v>484</v>
      </c>
      <c r="W38" s="2118" t="s">
        <v>425</v>
      </c>
      <c r="X38" s="2120"/>
      <c r="Y38" s="2118" t="s">
        <v>426</v>
      </c>
      <c r="Z38" s="2119"/>
      <c r="AA38" s="2120"/>
      <c r="AB38" s="2130"/>
      <c r="AC38" s="1382" t="s">
        <v>484</v>
      </c>
      <c r="AD38" s="2118" t="s">
        <v>425</v>
      </c>
      <c r="AE38" s="2120"/>
      <c r="AF38" s="2118" t="s">
        <v>426</v>
      </c>
      <c r="AG38" s="2119"/>
      <c r="AH38" s="2120"/>
      <c r="AI38" s="2130"/>
      <c r="AJ38" s="2133"/>
      <c r="AK38" s="1971"/>
    </row>
    <row customHeight="1" ht="33.75">
      <c r="A39" s="1400"/>
      <c r="B39" s="1400" t="s">
        <v>134</v>
      </c>
      <c r="C39" s="1400" t="s">
        <v>135</v>
      </c>
      <c r="D39" s="1400" t="s">
        <v>136</v>
      </c>
      <c r="E39" s="1394" t="s">
        <v>427</v>
      </c>
      <c r="F39" s="1394" t="s">
        <v>428</v>
      </c>
      <c r="G39" s="1394" t="s">
        <v>429</v>
      </c>
      <c r="H39" s="1394"/>
      <c r="I39" s="1394" t="s">
        <v>485</v>
      </c>
      <c r="J39" s="1394" t="s">
        <v>432</v>
      </c>
      <c r="K39" s="1394" t="s">
        <v>486</v>
      </c>
      <c r="L39" s="1394" t="s">
        <v>408</v>
      </c>
      <c r="Q39" s="377"/>
      <c r="R39" s="377"/>
      <c r="S39" s="2125"/>
      <c r="T39" s="2062"/>
      <c r="U39" s="290"/>
      <c r="V39" s="1382" t="s">
        <v>487</v>
      </c>
      <c r="W39" s="1237" t="s">
        <v>488</v>
      </c>
      <c r="X39" s="1237" t="s">
        <v>489</v>
      </c>
      <c r="Y39" s="1387" t="s">
        <v>436</v>
      </c>
      <c r="Z39" s="2121" t="s">
        <v>437</v>
      </c>
      <c r="AA39" s="2122"/>
      <c r="AB39" s="2131"/>
      <c r="AC39" s="1382" t="s">
        <v>487</v>
      </c>
      <c r="AD39" s="1237" t="s">
        <v>488</v>
      </c>
      <c r="AE39" s="1237" t="s">
        <v>489</v>
      </c>
      <c r="AF39" s="1387" t="s">
        <v>436</v>
      </c>
      <c r="AG39" s="2121" t="s">
        <v>437</v>
      </c>
      <c r="AH39" s="2122"/>
      <c r="AI39" s="2131"/>
      <c r="AJ39" s="2134"/>
      <c r="AK39" s="1971"/>
    </row>
    <row s="2611"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108</v>
      </c>
      <c r="T40" s="1281" t="s">
        <v>109</v>
      </c>
      <c r="U40" s="1263" t="str">
        <f>OFFSET(U40,0,-1)</f>
        <v>2</v>
      </c>
      <c r="V40" s="1383">
        <f>OFFSET(V40,0,-1)+1</f>
        <v>3</v>
      </c>
      <c r="W40" s="1383">
        <f>OFFSET(W40,0,-1)+1</f>
        <v>4</v>
      </c>
      <c r="X40" s="1383">
        <f>OFFSET(X40,0,-1)+1</f>
        <v>5</v>
      </c>
      <c r="Y40" s="1383">
        <f>OFFSET(Y40,0,-1)+1</f>
        <v>6</v>
      </c>
      <c r="Z40" s="2123">
        <f>OFFSET(Z40,0,-1)+1</f>
        <v>7</v>
      </c>
      <c r="AA40" s="2123"/>
      <c r="AB40" s="1383">
        <f>OFFSET(AB40,0,-2)+1</f>
        <v>8</v>
      </c>
      <c r="AC40" s="1383">
        <f>OFFSET(AC40,0,-1)+1</f>
        <v>9</v>
      </c>
      <c r="AD40" s="1383">
        <f>OFFSET(AD40,0,-1)+1</f>
        <v>10</v>
      </c>
      <c r="AE40" s="1383">
        <f>OFFSET(AE40,0,-1)+1</f>
        <v>11</v>
      </c>
      <c r="AF40" s="1383">
        <f>OFFSET(AF40,0,-1)+1</f>
        <v>12</v>
      </c>
      <c r="AG40" s="2123">
        <f>OFFSET(AG40,0,-1)+1</f>
        <v>13</v>
      </c>
      <c r="AH40" s="2123"/>
      <c r="AI40" s="1383">
        <f>OFFSET(AI40,0,-2)+1</f>
        <v>14</v>
      </c>
      <c r="AJ40" s="1263">
        <f>OFFSET(AJ40,0,-1)</f>
        <v>14</v>
      </c>
      <c r="AK40" s="1383">
        <f>OFFSET(AK40,0,-1)+1</f>
        <v>15</v>
      </c>
      <c r="AL40" s="517"/>
      <c r="AM40" s="517"/>
      <c r="AN40" s="517"/>
      <c r="AO40" s="517"/>
      <c r="AP40" s="517"/>
    </row>
    <row customHeight="1" ht="23.25">
      <c r="A41" s="1393" t="s">
        <v>217</v>
      </c>
      <c r="B41" s="1393"/>
      <c r="C41" s="1393"/>
      <c r="D41" s="1393"/>
      <c r="E41" s="2107">
        <v>1</v>
      </c>
      <c r="F41" s="1393"/>
      <c r="G41" s="1393"/>
      <c r="H41" s="1393"/>
      <c r="I41" s="1393"/>
      <c r="J41" s="1393"/>
      <c r="K41" s="1393"/>
      <c r="L41" s="1394"/>
      <c r="M41" s="1395"/>
      <c r="N41" s="1395"/>
      <c r="O41" s="1395"/>
      <c r="P41" s="357"/>
      <c r="Q41" s="356"/>
      <c r="R41" s="351"/>
      <c r="S41" s="1388">
        <f>INDEX(PT_DIFFERENTIATION_NUM_NTAR,MATCH(A41,PT_DIFFERENTIATION_NTAR_ID,0))</f>
        <v>0</v>
      </c>
      <c r="T41" s="286" t="s">
        <v>122</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217</v>
      </c>
      <c r="B42" s="1393" t="s">
        <v>218</v>
      </c>
      <c r="C42" s="1393"/>
      <c r="D42" s="1393"/>
      <c r="E42" s="2108"/>
      <c r="F42" s="2107">
        <v>1</v>
      </c>
      <c r="G42" s="1393"/>
      <c r="H42" s="1393"/>
      <c r="I42" s="1393"/>
      <c r="J42" s="1393"/>
      <c r="K42" s="1393"/>
      <c r="L42" s="1394"/>
      <c r="M42" s="1395"/>
      <c r="N42" s="1395"/>
      <c r="O42" s="1395"/>
      <c r="P42" s="1386"/>
      <c r="Q42" s="348"/>
      <c r="R42" s="349"/>
      <c r="S42" s="1388" t="str">
        <f>INDEX(PT_DIFFERENTIATION_NUM_TER,MATCH(B42,PT_DIFFERENTIATION_TER_ID,0))</f>
        <v>.</v>
      </c>
      <c r="T42" s="298" t="s">
        <v>390</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391</v>
      </c>
      <c r="AM42" s="506"/>
      <c r="AN42" s="506" t="str">
        <f>IF(T42="","",T42)</f>
        <v>Территория действия тарифа</v>
      </c>
      <c r="AO42" s="506"/>
      <c r="AP42" s="506"/>
    </row>
    <row customHeight="1" ht="23.25">
      <c r="A43" s="1393" t="s">
        <v>217</v>
      </c>
      <c r="B43" s="1393" t="s">
        <v>218</v>
      </c>
      <c r="C43" s="1393" t="s">
        <v>219</v>
      </c>
      <c r="D43" s="1393"/>
      <c r="E43" s="2108"/>
      <c r="F43" s="2108"/>
      <c r="G43" s="2107">
        <v>1</v>
      </c>
      <c r="H43" s="1393"/>
      <c r="I43" s="1393"/>
      <c r="J43" s="1393"/>
      <c r="K43" s="1393"/>
      <c r="L43" s="1394"/>
      <c r="M43" s="1395"/>
      <c r="N43" s="1395"/>
      <c r="O43" s="1395"/>
      <c r="P43" s="350"/>
      <c r="Q43" s="348"/>
      <c r="R43" s="349"/>
      <c r="S43" s="1388" t="str">
        <f>INDEX(PT_DIFFERENTIATION_NUM_CS,MATCH(C43,PT_DIFFERENTIATION_CS_ID,0))</f>
        <v>..</v>
      </c>
      <c r="T43" s="299" t="s">
        <v>476</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477</v>
      </c>
      <c r="AM43" s="506"/>
      <c r="AN43" s="506" t="str">
        <f>IF(T43="","",T43)</f>
        <v>Наименование централизованной системы холодного водоснабжения</v>
      </c>
      <c r="AO43" s="506"/>
      <c r="AP43" s="506"/>
    </row>
    <row customHeight="1" ht="23.25">
      <c r="A44" s="1393" t="s">
        <v>217</v>
      </c>
      <c r="B44" s="1393" t="s">
        <v>218</v>
      </c>
      <c r="C44" s="1393" t="s">
        <v>219</v>
      </c>
      <c r="D44" s="1393" t="s">
        <v>490</v>
      </c>
      <c r="E44" s="2108"/>
      <c r="F44" s="2108"/>
      <c r="G44" s="2108"/>
      <c r="H44" s="2108"/>
      <c r="I44" s="2109" t="str">
        <f>S43&amp;".1"</f>
        <v>...1</v>
      </c>
      <c r="J44" s="1393"/>
      <c r="K44" s="1393"/>
      <c r="L44" s="1394"/>
      <c r="P44" s="2111">
        <v>1</v>
      </c>
      <c r="Q44" s="1384"/>
      <c r="R44" s="352"/>
      <c r="S44" s="1388" t="str">
        <f>$I44</f>
        <v>...1</v>
      </c>
      <c r="T44" s="273" t="s">
        <v>478</v>
      </c>
      <c r="U44" s="288"/>
      <c r="V44" s="2194"/>
      <c r="W44" s="2195"/>
      <c r="X44" s="2195"/>
      <c r="Y44" s="2195"/>
      <c r="Z44" s="2195"/>
      <c r="AA44" s="2195"/>
      <c r="AB44" s="2196"/>
      <c r="AC44" s="2197"/>
      <c r="AD44" s="2198"/>
      <c r="AE44" s="2198"/>
      <c r="AF44" s="2198"/>
      <c r="AG44" s="2198"/>
      <c r="AH44" s="2198"/>
      <c r="AI44" s="2198"/>
      <c r="AJ44" s="2199"/>
      <c r="AK44" s="1286" t="s">
        <v>479</v>
      </c>
      <c r="AM44" s="506"/>
      <c r="AN44" s="506" t="str">
        <f>IF(T44="","",T44)</f>
        <v>Наименование признака дифференциации</v>
      </c>
      <c r="AO44" s="506"/>
      <c r="AP44" s="506"/>
    </row>
    <row customHeight="1" ht="23.25">
      <c r="A45" s="1393" t="s">
        <v>217</v>
      </c>
      <c r="B45" s="1393" t="s">
        <v>218</v>
      </c>
      <c r="C45" s="1393" t="s">
        <v>219</v>
      </c>
      <c r="D45" s="1393" t="s">
        <v>490</v>
      </c>
      <c r="E45" s="2108"/>
      <c r="F45" s="2108"/>
      <c r="G45" s="2108"/>
      <c r="H45" s="2108"/>
      <c r="I45" s="2110"/>
      <c r="J45" s="2109" t="str">
        <f>I44&amp;".1"</f>
        <v>...1.1</v>
      </c>
      <c r="K45" s="1393"/>
      <c r="L45" s="1394" t="s">
        <v>399</v>
      </c>
      <c r="P45" s="2111"/>
      <c r="Q45" s="2111">
        <v>1</v>
      </c>
      <c r="R45" s="353"/>
      <c r="S45" s="1388" t="str">
        <f>$J45</f>
        <v>...1.1</v>
      </c>
      <c r="T45" s="274" t="s">
        <v>400</v>
      </c>
      <c r="U45" s="288"/>
      <c r="V45" s="2095"/>
      <c r="W45" s="2096"/>
      <c r="X45" s="2096"/>
      <c r="Y45" s="2096"/>
      <c r="Z45" s="2096"/>
      <c r="AA45" s="2096"/>
      <c r="AB45" s="2097"/>
      <c r="AC45" s="2095"/>
      <c r="AD45" s="2096"/>
      <c r="AE45" s="2096"/>
      <c r="AF45" s="2096"/>
      <c r="AG45" s="2096"/>
      <c r="AH45" s="2096"/>
      <c r="AI45" s="2096"/>
      <c r="AJ45" s="2097"/>
      <c r="AK45" s="1337" t="s">
        <v>480</v>
      </c>
      <c r="AM45" s="506"/>
      <c r="AN45" s="506" t="str">
        <f>IF(T45="","",T45)</f>
        <v>Группа потребителей</v>
      </c>
      <c r="AO45" s="506"/>
      <c r="AP45" s="506"/>
    </row>
    <row customHeight="1" ht="23.25">
      <c r="A46" s="1393" t="s">
        <v>217</v>
      </c>
      <c r="B46" s="1393" t="s">
        <v>218</v>
      </c>
      <c r="C46" s="1393" t="s">
        <v>219</v>
      </c>
      <c r="D46" s="1393" t="s">
        <v>490</v>
      </c>
      <c r="E46" s="2108"/>
      <c r="F46" s="2108"/>
      <c r="G46" s="2108"/>
      <c r="H46" s="2108"/>
      <c r="I46" s="2110"/>
      <c r="J46" s="2110"/>
      <c r="K46" s="2109" t="str">
        <f>J45&amp;".1"</f>
        <v>...1.1.1</v>
      </c>
      <c r="L46" s="1394"/>
      <c r="P46" s="2111"/>
      <c r="Q46" s="2111"/>
      <c r="R46" s="353">
        <v>1</v>
      </c>
      <c r="S46" s="1388" t="str">
        <f>$K46</f>
        <v>...1.1.1</v>
      </c>
      <c r="T46" s="1467"/>
      <c r="U46" s="288"/>
      <c r="V46" s="1390"/>
      <c r="W46" s="1390"/>
      <c r="X46" s="1391"/>
      <c r="Y46" s="2105"/>
      <c r="Z46" s="2104" t="s">
        <v>61</v>
      </c>
      <c r="AA46" s="2105"/>
      <c r="AB46" s="2104" t="s">
        <v>61</v>
      </c>
      <c r="AC46" s="757"/>
      <c r="AD46" s="757"/>
      <c r="AE46" s="1285"/>
      <c r="AF46" s="2112"/>
      <c r="AG46" s="1981" t="s">
        <v>61</v>
      </c>
      <c r="AH46" s="2114"/>
      <c r="AI46" s="1981" t="s">
        <v>56</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217</v>
      </c>
      <c r="B47" s="1393" t="s">
        <v>218</v>
      </c>
      <c r="C47" s="1393" t="s">
        <v>219</v>
      </c>
      <c r="D47" s="1393" t="s">
        <v>490</v>
      </c>
      <c r="E47" s="2108"/>
      <c r="F47" s="2108"/>
      <c r="G47" s="2108"/>
      <c r="H47" s="2108"/>
      <c r="I47" s="2110"/>
      <c r="J47" s="2110"/>
      <c r="K47" s="2109"/>
      <c r="L47" s="1394"/>
      <c r="P47" s="2111"/>
      <c r="Q47" s="2111"/>
      <c r="R47" s="353"/>
      <c r="S47" s="1389"/>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217</v>
      </c>
      <c r="B48" s="1393" t="s">
        <v>218</v>
      </c>
      <c r="C48" s="1393" t="s">
        <v>219</v>
      </c>
      <c r="D48" s="1393" t="s">
        <v>490</v>
      </c>
      <c r="E48" s="2108"/>
      <c r="F48" s="2108"/>
      <c r="G48" s="2108"/>
      <c r="H48" s="2108"/>
      <c r="I48" s="2110"/>
      <c r="J48" s="2109"/>
      <c r="K48" s="1393"/>
      <c r="L48" s="1394"/>
      <c r="P48" s="2111"/>
      <c r="Q48" s="2111"/>
      <c r="R48" s="352"/>
      <c r="S48" s="1308"/>
      <c r="T48" s="275" t="s">
        <v>481</v>
      </c>
      <c r="U48" s="367"/>
      <c r="V48" s="367"/>
      <c r="W48" s="367"/>
      <c r="X48" s="367"/>
      <c r="Y48" s="367"/>
      <c r="Z48" s="367"/>
      <c r="AA48" s="367"/>
      <c r="AB48" s="367"/>
      <c r="AC48" s="367"/>
      <c r="AD48" s="367"/>
      <c r="AE48" s="367"/>
      <c r="AF48" s="367"/>
      <c r="AG48" s="367"/>
      <c r="AH48" s="367"/>
      <c r="AI48" s="367"/>
      <c r="AJ48" s="367"/>
      <c r="AK48" s="1286" t="s">
        <v>482</v>
      </c>
      <c r="AM48" s="506"/>
      <c r="AN48" s="506" t="str">
        <f>IF(T48="","",T48)</f>
        <v>Добавить значение признака дифференциации</v>
      </c>
      <c r="AO48" s="506"/>
      <c r="AP48" s="506"/>
    </row>
    <row customHeight="1" ht="21">
      <c r="A49" s="1393" t="s">
        <v>217</v>
      </c>
      <c r="B49" s="1393" t="s">
        <v>218</v>
      </c>
      <c r="C49" s="1393" t="s">
        <v>219</v>
      </c>
      <c r="D49" s="1393" t="s">
        <v>490</v>
      </c>
      <c r="E49" s="2108"/>
      <c r="F49" s="2108"/>
      <c r="G49" s="2108"/>
      <c r="H49" s="2108"/>
      <c r="I49" s="2109"/>
      <c r="J49" s="1393"/>
      <c r="K49" s="1393"/>
      <c r="L49" s="1394"/>
      <c r="P49" s="2111"/>
      <c r="Q49" s="1384"/>
      <c r="R49" s="352"/>
      <c r="S49" s="1308"/>
      <c r="T49" s="364" t="s">
        <v>405</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217</v>
      </c>
      <c r="B50" s="1393" t="s">
        <v>218</v>
      </c>
      <c r="C50" s="1393" t="s">
        <v>219</v>
      </c>
      <c r="D50" s="1393" t="s">
        <v>490</v>
      </c>
      <c r="E50" s="2108"/>
      <c r="F50" s="2108"/>
      <c r="G50" s="2108"/>
      <c r="H50" s="2107"/>
      <c r="I50" s="1393"/>
      <c r="J50" s="1393"/>
      <c r="K50" s="1393"/>
      <c r="L50" s="1394"/>
      <c r="M50" s="1395"/>
      <c r="N50" s="1395"/>
      <c r="O50" s="543"/>
      <c r="P50" s="356"/>
      <c r="Q50" s="376"/>
      <c r="R50" s="351"/>
      <c r="S50" s="1308"/>
      <c r="T50" s="372" t="s">
        <v>483</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4" customFormat="1" customHeight="1" ht="0">
      <c r="A51" s="1373" t="s">
        <v>217</v>
      </c>
      <c r="B51" s="1373" t="s">
        <v>218</v>
      </c>
      <c r="C51" s="1344"/>
      <c r="D51" s="1344"/>
      <c r="E51" s="2108"/>
      <c r="F51" s="2107"/>
      <c r="G51" s="1344"/>
      <c r="H51" s="1344"/>
      <c r="I51" s="1344"/>
      <c r="J51" s="1344"/>
      <c r="K51" s="1344"/>
      <c r="L51" s="1456"/>
      <c r="M51" s="1351"/>
      <c r="N51" s="1351"/>
      <c r="P51" s="1346"/>
      <c r="Q51" s="1347"/>
      <c r="R51" s="1346"/>
      <c r="S51" s="1352"/>
      <c r="T51" s="1355" t="s">
        <v>168</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2" customFormat="1" customHeight="1" ht="0">
      <c r="A52" s="1373" t="s">
        <v>217</v>
      </c>
      <c r="B52" s="1373"/>
      <c r="C52" s="1373"/>
      <c r="D52" s="1373"/>
      <c r="E52" s="2107"/>
      <c r="F52" s="1373"/>
      <c r="G52" s="1373"/>
      <c r="H52" s="1373"/>
      <c r="I52" s="1373"/>
      <c r="J52" s="1373"/>
      <c r="K52" s="1373"/>
      <c r="L52" s="1376"/>
      <c r="M52" s="1351"/>
      <c r="N52" s="1351"/>
      <c r="O52" s="524"/>
      <c r="P52" s="385"/>
      <c r="Q52" s="1374"/>
      <c r="R52" s="385"/>
      <c r="S52" s="1352"/>
      <c r="T52" s="1355" t="s">
        <v>169</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4" customFormat="1" customHeight="1" ht="0">
      <c r="A53" s="1344"/>
      <c r="B53" s="1344"/>
      <c r="C53" s="1344"/>
      <c r="D53" s="1344"/>
      <c r="E53" s="1373"/>
      <c r="F53" s="1344"/>
      <c r="G53" s="1344"/>
      <c r="H53" s="1344"/>
      <c r="I53" s="1344"/>
      <c r="J53" s="1344"/>
      <c r="K53" s="1344"/>
      <c r="L53" s="1456"/>
      <c r="M53" s="1351"/>
      <c r="N53" s="1351"/>
      <c r="P53" s="1346"/>
      <c r="Q53" s="1347"/>
      <c r="R53" s="1346"/>
      <c r="S53" s="1352"/>
      <c r="T53" s="1355" t="s">
        <v>170</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EBD3609-8AD8-EF08-9B85-C301F0852008}" mc:Ignorable="x14ac xr xr2 xr3">
  <sheetPr>
    <tabColor rgb="FFCCCCFF"/>
  </sheetPr>
  <dimension ref="A1:P78"/>
  <sheetViews>
    <sheetView topLeftCell="A1" showGridLines="0" zoomScale="80" workbookViewId="0">
      <selection activeCell="F49" sqref="F49"/>
    </sheetView>
  </sheetViews>
  <sheetFormatPr defaultColWidth="9.140625" customHeight="1" defaultRowHeight="11.25"/>
  <cols>
    <col min="1" max="1" style="2517" width="10.7109375" hidden="1" customWidth="1"/>
    <col min="2" max="2" style="2507" width="10.7109375" hidden="1" customWidth="1"/>
    <col min="3" max="3" style="2608" width="3.7109375" customWidth="1"/>
    <col min="4" max="4" style="2609" width="1.7109375" customWidth="1"/>
    <col min="5" max="5" style="2609" width="55.28125" customWidth="1"/>
    <col min="6" max="6" style="2609" width="50.7109375" customWidth="1"/>
    <col min="7" max="7" style="2523" width="1.7109375" customWidth="1"/>
    <col min="8" max="8" style="2524" width="18.00390625" hidden="1" customWidth="1"/>
    <col min="9" max="9" style="2504" width="9.57421875" customWidth="1"/>
    <col min="10" max="10" style="2544" width="52.140625" hidden="1" customWidth="1"/>
    <col min="11" max="11" style="2609" width="9.140625"/>
    <col min="12" max="12" style="2609" width="78.00390625" customWidth="1"/>
    <col min="13" max="16" style="2609" width="9.140625"/>
  </cols>
  <sheetData>
    <row s="2501" customFormat="1" customHeight="1" ht="3">
      <c r="A1" s="789"/>
      <c r="B1" s="227"/>
      <c r="F1" s="228">
        <v>26354809</v>
      </c>
      <c r="G1" s="417"/>
      <c r="H1" s="56"/>
      <c r="I1" s="417"/>
      <c r="J1" s="877"/>
    </row>
    <row s="2505" customFormat="1" customHeight="1" ht="14.25">
      <c r="A2" s="789"/>
      <c r="B2" s="84"/>
      <c r="E2" s="1780" t="str">
        <f>code</f>
        <v>Код отчёта: PP110.OPEN.INFO.PRICE.HEAT.EIAS</v>
      </c>
      <c r="F2" s="255"/>
      <c r="G2" s="231"/>
      <c r="H2" s="231"/>
      <c r="I2" s="231"/>
      <c r="J2" s="878"/>
      <c r="K2" s="231"/>
    </row>
    <row customHeight="1" ht="14.25">
      <c r="E3" s="232" t="str">
        <f>version</f>
        <v>Версия отчёта: 1.0.5</v>
      </c>
      <c r="F3" s="255"/>
      <c r="G3" s="776"/>
      <c r="H3" s="776"/>
      <c r="I3" s="776"/>
      <c r="J3" s="879"/>
      <c r="K3" s="73"/>
    </row>
    <row s="2516" customFormat="1" customHeight="1" ht="6">
      <c r="A4" s="790"/>
      <c r="B4" s="218"/>
      <c r="C4" s="219"/>
      <c r="D4" s="220"/>
      <c r="E4" s="229"/>
      <c r="F4" s="230"/>
      <c r="G4" s="777"/>
      <c r="H4" s="415"/>
      <c r="I4" s="417"/>
      <c r="J4" s="880"/>
    </row>
    <row customHeight="1" ht="37.5">
      <c r="D5" s="60"/>
      <c r="E5" s="1949" t="str">
        <f>NameTemplatesInTitle</f>
        <v>Показатели, подлежащие раскрытию в сфере теплоснабжения (цены и тарифы)</v>
      </c>
      <c r="F5" s="1950"/>
      <c r="G5" s="778"/>
      <c r="J5" s="881"/>
    </row>
    <row s="2516" customFormat="1" customHeight="1" ht="6">
      <c r="A6" s="790"/>
      <c r="B6" s="218"/>
      <c r="C6" s="219"/>
      <c r="D6" s="220"/>
      <c r="E6" s="223"/>
      <c r="F6" s="224"/>
      <c r="G6" s="778"/>
      <c r="H6" s="415"/>
      <c r="I6" s="417"/>
      <c r="J6" s="880"/>
    </row>
    <row customHeight="1" ht="19.5">
      <c r="D7" s="60"/>
      <c r="E7" s="397" t="s">
        <v>13</v>
      </c>
      <c r="F7" s="201" t="s">
        <v>14</v>
      </c>
      <c r="G7" s="778"/>
    </row>
    <row s="2516" customFormat="1" customHeight="1" ht="6">
      <c r="A8" s="791"/>
      <c r="B8" s="218"/>
      <c r="C8" s="219"/>
      <c r="D8" s="225"/>
      <c r="E8" s="223"/>
      <c r="F8" s="226"/>
      <c r="G8" s="62"/>
      <c r="H8" s="415"/>
      <c r="I8" s="417"/>
      <c r="J8" s="883"/>
    </row>
    <row s="2524" customFormat="1" customHeight="1" ht="19.5" hidden="1">
      <c r="A9" s="790"/>
      <c r="B9" s="84"/>
      <c r="C9" s="414"/>
      <c r="D9" s="416"/>
      <c r="E9" s="1173" t="s">
        <v>15</v>
      </c>
      <c r="F9" s="1159"/>
      <c r="G9" s="778"/>
      <c r="I9" s="417"/>
      <c r="J9" s="882"/>
    </row>
    <row s="2545" customFormat="1" customHeight="1" ht="6">
      <c r="A10" s="791"/>
      <c r="B10" s="432"/>
      <c r="C10" s="433"/>
      <c r="D10" s="225"/>
      <c r="E10" s="223"/>
      <c r="F10" s="226"/>
      <c r="G10" s="62"/>
      <c r="H10" s="415"/>
      <c r="I10" s="417"/>
      <c r="J10" s="883"/>
    </row>
    <row customHeight="1" ht="22.5">
      <c r="A11" s="1952" t="s">
        <v>16</v>
      </c>
      <c r="D11" s="60"/>
      <c r="E11" s="1173" t="s">
        <v>17</v>
      </c>
      <c r="F11" s="2549">
        <v>45292.61002314815</v>
      </c>
      <c r="G11" s="62"/>
      <c r="H11" s="779" t="s">
        <v>18</v>
      </c>
      <c r="J11" s="882" t="s">
        <v>19</v>
      </c>
    </row>
    <row customHeight="1" ht="22.5">
      <c r="A12" s="1952"/>
      <c r="D12" s="60"/>
      <c r="E12" s="1173" t="s">
        <v>20</v>
      </c>
      <c r="F12" s="2549">
        <v>47118.61009259259</v>
      </c>
      <c r="G12" s="58"/>
      <c r="J12" s="882" t="s">
        <v>21</v>
      </c>
    </row>
    <row s="2524" customFormat="1" customHeight="1" ht="22.5" hidden="1">
      <c r="A13" s="794" t="s">
        <v>22</v>
      </c>
      <c r="B13" s="84"/>
      <c r="C13" s="414"/>
      <c r="D13" s="416"/>
      <c r="E13" s="1816" t="s">
        <v>23</v>
      </c>
      <c r="F13" s="1772" t="s">
        <v>24</v>
      </c>
      <c r="G13" s="62"/>
      <c r="H13" s="776"/>
      <c r="I13" s="417"/>
      <c r="J13" s="1817" t="s">
        <v>25</v>
      </c>
    </row>
    <row s="2524" customFormat="1" customHeight="1" ht="27" hidden="1">
      <c r="A14" s="794" t="s">
        <v>26</v>
      </c>
      <c r="B14" s="84"/>
      <c r="C14" s="414"/>
      <c r="D14" s="416"/>
      <c r="E14" s="1173" t="s">
        <v>27</v>
      </c>
      <c r="F14" s="1808"/>
      <c r="G14" s="62"/>
      <c r="H14" s="776"/>
      <c r="I14" s="417"/>
      <c r="J14" s="882" t="s">
        <v>28</v>
      </c>
    </row>
    <row s="2524" customFormat="1" customHeight="1" ht="19.5" hidden="1">
      <c r="A15" s="794" t="s">
        <v>29</v>
      </c>
      <c r="B15" s="84"/>
      <c r="C15" s="414"/>
      <c r="D15" s="416"/>
      <c r="E15" s="1173" t="s">
        <v>30</v>
      </c>
      <c r="F15" s="1808"/>
      <c r="G15" s="62"/>
      <c r="H15" s="776"/>
      <c r="I15" s="417"/>
      <c r="J15" s="882" t="s">
        <v>31</v>
      </c>
    </row>
    <row s="2516" customFormat="1" customHeight="1" ht="6">
      <c r="A16" s="791"/>
      <c r="B16" s="218"/>
      <c r="C16" s="219"/>
      <c r="D16" s="225"/>
      <c r="E16" s="223"/>
      <c r="F16" s="226"/>
      <c r="G16" s="62"/>
      <c r="H16" s="415"/>
      <c r="I16" s="417"/>
      <c r="J16" s="880"/>
    </row>
    <row customHeight="1" ht="19.5">
      <c r="D17" s="60"/>
      <c r="E17" s="397" t="s">
        <v>32</v>
      </c>
      <c r="F17" s="202" t="s">
        <v>33</v>
      </c>
      <c r="G17" s="58"/>
      <c r="H17" s="779" t="s">
        <v>18</v>
      </c>
    </row>
    <row customHeight="1" ht="25.5" hidden="1">
      <c r="D18" s="60"/>
      <c r="E18" s="1816" t="s">
        <v>34</v>
      </c>
      <c r="F18" s="1773"/>
      <c r="G18" s="58"/>
      <c r="I18" s="780"/>
      <c r="J18" s="1951" t="s">
        <v>35</v>
      </c>
    </row>
    <row customHeight="1" ht="25.5" hidden="1">
      <c r="D19" s="60"/>
      <c r="E19" s="1173"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773"/>
      <c r="G19" s="58"/>
      <c r="I19" s="780"/>
      <c r="J19" s="1951"/>
    </row>
    <row customHeight="1" ht="22.5">
      <c r="D20" s="60"/>
      <c r="E20" s="61"/>
      <c r="F20" s="256" t="str">
        <f>"Первичное "&amp;IF(TEMPLATE_GROUP="P","установление тарифов","предложение по тарифам")</f>
        <v>Первичное установление тарифов</v>
      </c>
      <c r="G20" s="58"/>
      <c r="I20" s="400"/>
      <c r="J20" s="881" t="s">
        <v>36</v>
      </c>
    </row>
    <row customHeight="1" ht="19.5">
      <c r="D21" s="60"/>
      <c r="E21" s="397" t="str">
        <f>"Дата "&amp;IF(TEMPLATE_GROUP="P","документа","подачи заявления")&amp;" об утверждении тарифов"</f>
        <v>Дата документа об утверждении тарифов</v>
      </c>
      <c r="F21" s="2549">
        <v>45245.61800925926</v>
      </c>
      <c r="G21" s="58"/>
      <c r="I21" s="781"/>
    </row>
    <row customHeight="1" ht="19.5">
      <c r="D22" s="60"/>
      <c r="E22" s="397" t="str">
        <f>"Номер "&amp;IF(TEMPLATE_GROUP="P","документа","подачи заявления")&amp;" об утверждении тарифов"</f>
        <v>Номер документа об утверждении тарифов</v>
      </c>
      <c r="F22" s="202" t="s">
        <v>37</v>
      </c>
      <c r="G22" s="58"/>
      <c r="I22" s="781"/>
    </row>
    <row customHeight="1" ht="22.5">
      <c r="D23" s="60"/>
      <c r="E23" s="397" t="s">
        <v>38</v>
      </c>
      <c r="F23" s="202" t="s">
        <v>39</v>
      </c>
      <c r="G23" s="58"/>
    </row>
    <row customHeight="1" ht="19.5">
      <c r="D24" s="60"/>
      <c r="E24" s="397" t="s">
        <v>40</v>
      </c>
      <c r="F24" s="2565" t="s">
        <v>41</v>
      </c>
      <c r="G24" s="58"/>
    </row>
    <row customHeight="1" ht="22.5" hidden="1">
      <c r="D25" s="60"/>
      <c r="E25" s="61"/>
      <c r="F25" s="256" t="str">
        <f>"Изменение "&amp;IF(TEMPLATE_GROUP="P","тарифов","предложения по тарифам")</f>
        <v>Изменение тарифов</v>
      </c>
      <c r="G25" s="58"/>
      <c r="J25" s="881" t="s">
        <v>42</v>
      </c>
    </row>
    <row customHeight="1" ht="19.5" hidden="1">
      <c r="D26" s="60"/>
      <c r="E26" s="397" t="str">
        <f>"Дата "&amp;IF(TEMPLATE_GROUP="P","принятия решения","подачи заявления")&amp;" об изменении тарифов"</f>
        <v>Дата принятия решения об изменении тарифов</v>
      </c>
      <c r="F26" s="1773"/>
      <c r="G26" s="58"/>
    </row>
    <row customHeight="1" ht="19.5" hidden="1">
      <c r="D27" s="60"/>
      <c r="E27" s="1173" t="str">
        <f>"Номер "&amp;IF(TEMPLATE_GROUP="P","принятия решения","заявления")&amp;" об изменении тарифов"</f>
        <v>Номер принятия решения об изменении тарифов</v>
      </c>
      <c r="F27" s="204"/>
      <c r="G27" s="58"/>
    </row>
    <row customHeight="1" ht="24.75" hidden="1">
      <c r="D28" s="60"/>
      <c r="E28" s="397" t="s">
        <v>43</v>
      </c>
      <c r="F28" s="204"/>
      <c r="G28" s="58"/>
    </row>
    <row customHeight="1" ht="19.5" hidden="1">
      <c r="D29" s="60"/>
      <c r="E29" s="397" t="s">
        <v>40</v>
      </c>
      <c r="F29" s="204"/>
      <c r="G29" s="58"/>
    </row>
    <row s="2516" customFormat="1" customHeight="1" ht="6">
      <c r="A30" s="791"/>
      <c r="B30" s="218"/>
      <c r="C30" s="219"/>
      <c r="D30" s="225"/>
      <c r="E30" s="223"/>
      <c r="F30" s="226"/>
      <c r="G30" s="62"/>
      <c r="H30" s="415"/>
      <c r="I30" s="417"/>
      <c r="J30" s="880"/>
    </row>
    <row customHeight="1" ht="19.5">
      <c r="C31" s="63"/>
      <c r="D31" s="64"/>
      <c r="E31" s="397" t="s">
        <v>44</v>
      </c>
      <c r="F31" s="203" t="s">
        <v>45</v>
      </c>
      <c r="G31" s="782"/>
    </row>
    <row customHeight="1" ht="19.5" hidden="1">
      <c r="C32" s="63"/>
      <c r="D32" s="64"/>
      <c r="E32" s="398" t="s">
        <v>46</v>
      </c>
      <c r="F32" s="1807"/>
      <c r="G32" s="782"/>
    </row>
    <row customHeight="1" ht="19.5">
      <c r="C33" s="63"/>
      <c r="D33" s="64"/>
      <c r="E33" s="397" t="s">
        <v>47</v>
      </c>
      <c r="F33" s="203" t="s">
        <v>48</v>
      </c>
      <c r="G33" s="782"/>
    </row>
    <row customHeight="1" ht="19.5">
      <c r="C34" s="63"/>
      <c r="D34" s="64"/>
      <c r="E34" s="397" t="s">
        <v>49</v>
      </c>
      <c r="F34" s="203" t="s">
        <v>50</v>
      </c>
      <c r="G34" s="782"/>
      <c r="H34" s="65"/>
    </row>
    <row s="2516" customFormat="1" customHeight="1" ht="11.25">
      <c r="A35" s="791"/>
      <c r="B35" s="218"/>
      <c r="C35" s="219"/>
      <c r="D35" s="225"/>
      <c r="E35" s="223"/>
      <c r="F35" s="226"/>
      <c r="G35" s="62"/>
      <c r="H35" s="415"/>
      <c r="I35" s="417"/>
      <c r="J35" s="880"/>
    </row>
    <row customHeight="1" ht="19.5">
      <c r="A36" s="885"/>
      <c r="D36" s="64"/>
      <c r="E36" s="397" t="s">
        <v>51</v>
      </c>
      <c r="F36" s="2575" t="s">
        <v>52</v>
      </c>
      <c r="G36" s="62"/>
    </row>
    <row customHeight="1" ht="19.5">
      <c r="A37" s="885"/>
      <c r="D37" s="64"/>
      <c r="E37" s="397" t="s">
        <v>53</v>
      </c>
      <c r="F37" s="2575" t="s">
        <v>54</v>
      </c>
      <c r="G37" s="62"/>
    </row>
    <row s="2516" customFormat="1" customHeight="1" ht="6">
      <c r="A38" s="791"/>
      <c r="B38" s="218"/>
      <c r="C38" s="219"/>
      <c r="D38" s="220"/>
      <c r="E38" s="221"/>
      <c r="F38" s="1060"/>
      <c r="G38" s="58"/>
      <c r="H38" s="415"/>
      <c r="I38" s="417"/>
      <c r="J38" s="882"/>
    </row>
    <row customHeight="1" ht="22.5">
      <c r="A39" s="791"/>
      <c r="D39" s="60"/>
      <c r="E39" s="397" t="s">
        <v>55</v>
      </c>
      <c r="F39" s="716" t="s">
        <v>56</v>
      </c>
      <c r="G39" s="58"/>
      <c r="H39" s="779" t="s">
        <v>18</v>
      </c>
    </row>
    <row s="2545" customFormat="1" customHeight="1" ht="6" hidden="1">
      <c r="A40" s="790"/>
      <c r="B40" s="432"/>
      <c r="C40" s="433"/>
      <c r="D40" s="434"/>
      <c r="E40" s="435"/>
      <c r="F40" s="1060"/>
      <c r="G40" s="58"/>
      <c r="H40" s="415"/>
      <c r="I40" s="417"/>
      <c r="J40" s="882"/>
    </row>
    <row s="2524" customFormat="1" customHeight="1" ht="19.5" hidden="1">
      <c r="A41" s="794" t="s">
        <v>22</v>
      </c>
      <c r="B41" s="419"/>
      <c r="C41" s="414"/>
      <c r="D41" s="416"/>
      <c r="E41" s="39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6" t="s">
        <v>56</v>
      </c>
      <c r="G41" s="58"/>
      <c r="I41" s="417"/>
      <c r="J41" s="882"/>
    </row>
    <row s="2545" customFormat="1" customHeight="1" ht="6">
      <c r="A42" s="790"/>
      <c r="B42" s="432"/>
      <c r="C42" s="433"/>
      <c r="D42" s="434"/>
      <c r="E42" s="435"/>
      <c r="F42" s="1060"/>
      <c r="G42" s="58"/>
      <c r="H42" s="415"/>
      <c r="I42" s="417"/>
      <c r="J42" s="880"/>
    </row>
    <row s="2524" customFormat="1" customHeight="1" ht="22.5">
      <c r="A43" s="790"/>
      <c r="B43" s="419"/>
      <c r="C43" s="414"/>
      <c r="D43" s="416"/>
      <c r="E43" s="397" t="s">
        <v>57</v>
      </c>
      <c r="F43" s="716" t="s">
        <v>56</v>
      </c>
      <c r="G43" s="58"/>
      <c r="I43" s="417"/>
      <c r="J43" s="882"/>
    </row>
    <row s="2524" customFormat="1" customHeight="1" ht="22.5">
      <c r="A44" s="790"/>
      <c r="B44" s="419"/>
      <c r="C44" s="414"/>
      <c r="D44" s="416"/>
      <c r="E44" s="1173" t="s">
        <v>58</v>
      </c>
      <c r="F44" s="2454"/>
      <c r="G44" s="58"/>
      <c r="I44" s="417"/>
      <c r="J44" s="882"/>
    </row>
    <row s="2545" customFormat="1" customHeight="1" ht="6">
      <c r="A45" s="790"/>
      <c r="B45" s="432"/>
      <c r="C45" s="433"/>
      <c r="D45" s="434"/>
      <c r="E45" s="435"/>
      <c r="F45" s="1060"/>
      <c r="G45" s="58"/>
      <c r="H45" s="415"/>
      <c r="I45" s="417"/>
      <c r="J45" s="882"/>
    </row>
    <row s="2545" customFormat="1" customHeight="1" ht="22.5">
      <c r="A46" s="790"/>
      <c r="B46" s="432"/>
      <c r="C46" s="433"/>
      <c r="D46" s="434"/>
      <c r="E46" s="1173" t="s">
        <v>59</v>
      </c>
      <c r="F46" s="716" t="s">
        <v>56</v>
      </c>
      <c r="G46" s="58"/>
      <c r="H46" s="415"/>
      <c r="I46" s="417"/>
      <c r="J46" s="882"/>
    </row>
    <row s="2524" customFormat="1" customHeight="1" ht="22.5">
      <c r="A47" s="790"/>
      <c r="B47" s="419"/>
      <c r="C47" s="414"/>
      <c r="D47" s="416"/>
      <c r="E47" s="1173" t="s">
        <v>60</v>
      </c>
      <c r="F47" s="716" t="s">
        <v>56</v>
      </c>
      <c r="G47" s="58"/>
      <c r="I47" s="417"/>
      <c r="J47" s="882"/>
    </row>
    <row s="2516" customFormat="1" customHeight="1" ht="6">
      <c r="A48" s="790"/>
      <c r="B48" s="218"/>
      <c r="C48" s="219"/>
      <c r="D48" s="220"/>
      <c r="E48" s="221"/>
      <c r="F48" s="1060"/>
      <c r="G48" s="58"/>
      <c r="H48" s="415"/>
      <c r="I48" s="417"/>
      <c r="J48" s="882"/>
    </row>
    <row customHeight="1" ht="19.5">
      <c r="B49" s="134"/>
      <c r="D49" s="60"/>
      <c r="E49" s="39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6" t="s">
        <v>61</v>
      </c>
      <c r="G49" s="58"/>
    </row>
    <row s="2545" customFormat="1" customHeight="1" ht="6" hidden="1">
      <c r="A50" s="791"/>
      <c r="B50" s="432"/>
      <c r="C50" s="433"/>
      <c r="D50" s="225"/>
      <c r="E50" s="223"/>
      <c r="F50" s="226"/>
      <c r="G50" s="62"/>
      <c r="H50" s="415"/>
      <c r="I50" s="417"/>
      <c r="J50" s="882"/>
    </row>
    <row s="2584" customFormat="1" customHeight="1" ht="22.5" hidden="1">
      <c r="A51" s="792"/>
      <c r="B51" s="419"/>
      <c r="C51" s="536"/>
      <c r="D51" s="537"/>
      <c r="E51" s="397" t="s">
        <v>62</v>
      </c>
      <c r="F51" s="716" t="s">
        <v>56</v>
      </c>
      <c r="G51" s="538"/>
      <c r="I51" s="540"/>
      <c r="J51" s="884"/>
      <c r="P51" s="541"/>
    </row>
    <row s="2545" customFormat="1" customHeight="1" ht="6" hidden="1">
      <c r="A52" s="791"/>
      <c r="B52" s="432"/>
      <c r="C52" s="433"/>
      <c r="D52" s="225"/>
      <c r="E52" s="223"/>
      <c r="F52" s="226"/>
      <c r="G52" s="62"/>
      <c r="H52" s="415"/>
      <c r="I52" s="417"/>
      <c r="J52" s="880"/>
    </row>
    <row s="2584" customFormat="1" customHeight="1" ht="22.5" hidden="1">
      <c r="A53" s="792"/>
      <c r="B53" s="419"/>
      <c r="C53" s="536"/>
      <c r="D53" s="537"/>
      <c r="E53" s="397" t="s">
        <v>63</v>
      </c>
      <c r="F53" s="1055" t="s">
        <v>56</v>
      </c>
      <c r="G53" s="538"/>
      <c r="I53" s="540"/>
      <c r="J53" s="884"/>
      <c r="P53" s="541"/>
    </row>
    <row s="2584" customFormat="1" customHeight="1" ht="22.5" hidden="1">
      <c r="A54" s="792"/>
      <c r="B54" s="419"/>
      <c r="C54" s="536"/>
      <c r="D54" s="537"/>
      <c r="E54" s="397" t="s">
        <v>64</v>
      </c>
      <c r="F54" s="1815"/>
      <c r="G54" s="538"/>
      <c r="I54" s="540"/>
      <c r="J54" s="884"/>
      <c r="P54" s="541"/>
    </row>
    <row s="2545" customFormat="1" customHeight="1" ht="6" hidden="1">
      <c r="A55" s="791"/>
      <c r="B55" s="432"/>
      <c r="C55" s="433"/>
      <c r="D55" s="225"/>
      <c r="E55" s="223"/>
      <c r="F55" s="226"/>
      <c r="G55" s="62"/>
      <c r="H55" s="415"/>
      <c r="I55" s="417"/>
      <c r="J55" s="880"/>
    </row>
    <row s="2584" customFormat="1" customHeight="1" ht="22.5" hidden="1">
      <c r="A56" s="792"/>
      <c r="B56" s="419"/>
      <c r="C56" s="536"/>
      <c r="D56" s="537"/>
      <c r="E56" s="397" t="s">
        <v>65</v>
      </c>
      <c r="F56" s="1055" t="s">
        <v>56</v>
      </c>
      <c r="G56" s="538"/>
      <c r="I56" s="540"/>
      <c r="J56" s="884"/>
      <c r="P56" s="541"/>
    </row>
    <row s="2545" customFormat="1" customHeight="1" ht="6" hidden="1">
      <c r="A57" s="791"/>
      <c r="B57" s="432"/>
      <c r="C57" s="433"/>
      <c r="D57" s="225"/>
      <c r="E57" s="223"/>
      <c r="F57" s="226"/>
      <c r="G57" s="62"/>
      <c r="H57" s="415"/>
      <c r="I57" s="417"/>
      <c r="J57" s="880"/>
    </row>
    <row s="2584" customFormat="1" customHeight="1" ht="15" hidden="1">
      <c r="A58" s="792"/>
      <c r="B58" s="419"/>
      <c r="C58" s="536"/>
      <c r="D58" s="537"/>
      <c r="E58" s="397" t="s">
        <v>66</v>
      </c>
      <c r="F58" s="1055" t="s">
        <v>61</v>
      </c>
      <c r="G58" s="538"/>
      <c r="I58" s="540"/>
      <c r="J58" s="884"/>
      <c r="P58" s="541"/>
    </row>
    <row s="2584" customFormat="1" customHeight="1" ht="15" hidden="1">
      <c r="A59" s="792"/>
      <c r="B59" s="419"/>
      <c r="C59" s="536"/>
      <c r="D59" s="537"/>
      <c r="E59" s="39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9"/>
      <c r="G59" s="538"/>
      <c r="I59" s="540"/>
      <c r="J59" s="884"/>
      <c r="P59" s="541"/>
    </row>
    <row s="2584" customFormat="1" customHeight="1" ht="15" hidden="1">
      <c r="A60" s="792"/>
      <c r="B60" s="419"/>
      <c r="C60" s="536"/>
      <c r="D60" s="537"/>
      <c r="E60" s="1173" t="s">
        <v>67</v>
      </c>
      <c r="F60" s="1159"/>
      <c r="G60" s="538"/>
      <c r="I60" s="540"/>
      <c r="J60" s="884"/>
      <c r="P60" s="541"/>
    </row>
    <row s="2545" customFormat="1" customHeight="1" ht="6" hidden="1">
      <c r="A61" s="791"/>
      <c r="B61" s="432"/>
      <c r="C61" s="433"/>
      <c r="D61" s="434"/>
      <c r="E61" s="435"/>
      <c r="F61" s="1060"/>
      <c r="G61" s="58"/>
      <c r="H61" s="415"/>
      <c r="I61" s="417"/>
      <c r="J61" s="882"/>
    </row>
    <row s="2524" customFormat="1" customHeight="1" ht="33.75" hidden="1">
      <c r="A62" s="791"/>
      <c r="B62" s="84"/>
      <c r="C62" s="414"/>
      <c r="D62" s="416"/>
      <c r="E62" s="1173" t="s">
        <v>68</v>
      </c>
      <c r="F62" s="1711" t="s">
        <v>61</v>
      </c>
      <c r="G62" s="58"/>
      <c r="H62" s="779" t="s">
        <v>18</v>
      </c>
      <c r="I62" s="417"/>
      <c r="J62" s="882"/>
    </row>
    <row s="2516" customFormat="1" customHeight="1" ht="6">
      <c r="A63" s="791"/>
      <c r="B63" s="218"/>
      <c r="C63" s="219"/>
      <c r="D63" s="225"/>
      <c r="E63" s="223"/>
      <c r="F63" s="226"/>
      <c r="G63" s="62"/>
      <c r="H63" s="415"/>
      <c r="I63" s="417"/>
      <c r="J63" s="880"/>
    </row>
    <row customHeight="1" ht="19.5">
      <c r="A64" s="793"/>
      <c r="B64" s="85"/>
      <c r="D64" s="67"/>
      <c r="E64" s="397" t="s">
        <v>69</v>
      </c>
      <c r="F64" s="202" t="s">
        <v>70</v>
      </c>
      <c r="G64" s="62"/>
    </row>
    <row customHeight="1" ht="19.5">
      <c r="A65" s="793"/>
      <c r="B65" s="85"/>
      <c r="D65" s="67"/>
      <c r="E65" s="397" t="s">
        <v>71</v>
      </c>
      <c r="F65" s="202" t="s">
        <v>72</v>
      </c>
      <c r="G65" s="62"/>
    </row>
    <row customHeight="1" ht="35.25">
      <c r="D66" s="60"/>
      <c r="E66" s="399" t="s">
        <v>73</v>
      </c>
      <c r="F66" s="1061"/>
      <c r="G66" s="58"/>
    </row>
    <row customHeight="1" ht="19.5">
      <c r="A67" s="793"/>
      <c r="D67" s="416"/>
      <c r="E67" s="397" t="s">
        <v>74</v>
      </c>
      <c r="F67" s="257" t="s">
        <v>75</v>
      </c>
      <c r="G67" s="62"/>
    </row>
    <row customHeight="1" ht="19.5">
      <c r="A68" s="793"/>
      <c r="B68" s="85"/>
      <c r="D68" s="67"/>
      <c r="E68" s="397" t="s">
        <v>76</v>
      </c>
      <c r="F68" s="257" t="s">
        <v>77</v>
      </c>
      <c r="G68" s="62"/>
    </row>
    <row customHeight="1" ht="19.5">
      <c r="A69" s="793"/>
      <c r="B69" s="85"/>
      <c r="D69" s="67"/>
      <c r="E69" s="397" t="s">
        <v>78</v>
      </c>
      <c r="F69" s="257" t="s">
        <v>79</v>
      </c>
      <c r="G69" s="62"/>
    </row>
    <row customHeight="1" ht="19.5">
      <c r="D70" s="416"/>
      <c r="E70" s="397" t="s">
        <v>80</v>
      </c>
      <c r="F70" s="2602" t="s">
        <v>81</v>
      </c>
      <c r="G70" s="58"/>
    </row>
    <row customHeight="1" ht="20.25">
      <c r="A71" s="793"/>
      <c r="D71" s="58"/>
      <c r="F71" s="119"/>
      <c r="G71" s="62"/>
    </row>
    <row customHeight="1" ht="19.5">
      <c r="A72" s="793"/>
      <c r="B72" s="85"/>
      <c r="D72" s="67"/>
      <c r="E72" s="66"/>
      <c r="F72" s="120"/>
      <c r="G72" s="62"/>
    </row>
    <row customHeight="1" ht="19.5">
      <c r="A73" s="793"/>
      <c r="B73" s="85"/>
      <c r="D73" s="67"/>
      <c r="E73" s="66"/>
      <c r="F73" s="120"/>
      <c r="G73" s="62"/>
    </row>
    <row customHeight="1" ht="19.5">
      <c r="A74" s="793"/>
      <c r="B74" s="85"/>
      <c r="D74" s="67"/>
      <c r="E74" s="71"/>
      <c r="F74" s="120"/>
      <c r="G74" s="62"/>
    </row>
    <row customHeight="1" ht="19.5">
      <c r="A75" s="793"/>
      <c r="B75" s="85"/>
      <c r="D75" s="67"/>
      <c r="E75" s="66"/>
      <c r="F75" s="120"/>
      <c r="G75" s="62"/>
    </row>
    <row r="78" customHeight="1" ht="11.25">
      <c r="E78" s="396"/>
      <c r="F78" s="396"/>
      <c r="G78" s="396"/>
      <c r="H78" s="396"/>
      <c r="I78" s="396"/>
    </row>
  </sheetData>
  <sheetProtection formatColumns="0" formatRows="0" sort="0" autoFilter="0" insertRows="0" insertColumns="1" deleteRows="0" deleteColumns="0"/>
  <mergeCells count="3">
    <mergeCell ref="E5:F5"/>
    <mergeCell ref="J18:J19"/>
    <mergeCell ref="A11:A12"/>
  </mergeCells>
  <dataValidations count="1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37:F38 F61">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DAC222EE-3BC8-AF18-ED27-11255A2C50FC}"/>
    <hyperlink ref="H17" location="Титульный!H9" display="Как заполнить?" tooltip="Помощь по работе с полями отчётной формы" xr:uid="{AA45DBD8-C145-99A8-C0D4-6EA644590728}"/>
    <hyperlink ref="F24" r:id="rId4" xr:uid="{576712BA-022B-82B1-56BC-7DB296270328}"/>
    <hyperlink ref="H39" location="Титульный!H9" display="Как заполнить?" tooltip="Помощь по работе с полями отчётной формы" xr:uid="{D5FD0478-6898-F1A8-A85A-AB4AE88DF8BA}"/>
    <hyperlink ref="H62" location="Титульный!H9" display="Как заполнить?" tooltip="Помощь по работе с полями отчётной формы" xr:uid="{AFF708B8-BA65-8ADC-3B38-2B589083BA08}"/>
    <hyperlink ref="F70" r:id="rId5" xr:uid="{0172DAC8-C49B-D6C8-1F78-56B772917BE2}"/>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0410D8-E0B7-0FC8-D1C2-892D206F75B8}"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93" width="10.57421875" hidden="1"/>
    <col min="2" max="2" style="3293" width="11.00390625" hidden="1" customWidth="1"/>
    <col min="3" max="3" style="3293" width="10.57421875" hidden="1"/>
    <col min="4" max="4" style="3293" width="11.8515625" hidden="1" customWidth="1"/>
    <col min="5" max="5" style="3293" width="10.00390625" hidden="1" customWidth="1"/>
    <col min="6" max="6" style="3293" width="8.7109375" hidden="1" customWidth="1"/>
    <col min="7" max="7" style="3293" width="7.57421875" hidden="1" customWidth="1"/>
    <col min="8" max="8" style="3293" width="11.421875" hidden="1" customWidth="1"/>
    <col min="9" max="9" style="3293" width="14.140625" hidden="1" customWidth="1"/>
    <col min="10" max="10" style="3293" width="9.8515625" hidden="1" customWidth="1"/>
    <col min="11" max="11" style="3293" width="14.7109375" hidden="1" customWidth="1"/>
    <col min="12" max="12" style="3980" width="19.140625" hidden="1" customWidth="1"/>
    <col min="13" max="14" style="3295" width="12.28125" hidden="1" customWidth="1"/>
    <col min="15" max="15" style="3295" width="23.421875" hidden="1" customWidth="1"/>
    <col min="16" max="16" style="3985" width="3.7109375" customWidth="1"/>
    <col min="17" max="18" style="3372" width="3.7109375" customWidth="1"/>
    <col min="19" max="19" style="3373" width="12.7109375" customWidth="1"/>
    <col min="20" max="20" style="2941" width="35.7109375" customWidth="1"/>
    <col min="21" max="21" style="2941" width="0.140625" customWidth="1"/>
    <col min="22" max="24" style="2941" width="24.7109375" hidden="1" customWidth="1"/>
    <col min="25" max="25" style="2941" width="11.7109375" hidden="1" customWidth="1"/>
    <col min="26" max="26" style="2941" width="3.7109375" hidden="1" customWidth="1"/>
    <col min="27" max="27" style="2941" width="11.7109375" hidden="1" customWidth="1"/>
    <col min="28" max="28" style="2941" width="8.57421875" hidden="1" customWidth="1"/>
    <col min="29" max="31" style="2941" width="24.7109375" customWidth="1"/>
    <col min="32" max="32" style="2941" width="11.7109375" customWidth="1"/>
    <col min="33" max="33" style="2941" width="3.7109375" customWidth="1"/>
    <col min="34" max="34" style="2941" width="11.7109375" customWidth="1"/>
    <col min="35" max="35" style="2941" width="8.57421875" hidden="1" customWidth="1"/>
    <col min="36" max="36" style="2941" width="4.7109375" customWidth="1"/>
    <col min="37" max="37" style="2941" width="115.7109375" customWidth="1"/>
    <col min="38" max="39" style="2612" width="10.57421875"/>
    <col min="40" max="40" style="2612" width="11.140625" customWidth="1"/>
    <col min="41" max="42" style="2612"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87">
        <f>INDEX(PT_DIFFERENTIATION_NUM_NTAR,MATCH(A2,PT_DIFFERENTIATION_NTAR_ID,0))</f>
      </c>
      <c r="T2" s="286" t="s">
        <v>122</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83"/>
      <c r="Q3" s="348"/>
      <c r="R3" s="349"/>
      <c r="S3" s="1487">
        <f>INDEX(PT_DIFFERENTIATION_NUM_TER,MATCH(B3,PT_DIFFERENTIATION_TER_ID,0))</f>
      </c>
      <c r="T3" s="298" t="s">
        <v>390</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391</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87">
        <f>INDEX(PT_DIFFERENTIATION_NUM_CS,MATCH(C4,PT_DIFFERENTIATION_CS_ID,0))</f>
      </c>
      <c r="T4" s="299" t="s">
        <v>476</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477</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80"/>
      <c r="R5" s="352"/>
      <c r="S5" s="1487">
        <f>$I5</f>
      </c>
      <c r="T5" s="273" t="s">
        <v>478</v>
      </c>
      <c r="U5" s="288"/>
      <c r="V5" s="2194"/>
      <c r="W5" s="2195"/>
      <c r="X5" s="2195"/>
      <c r="Y5" s="2195"/>
      <c r="Z5" s="2195"/>
      <c r="AA5" s="2195"/>
      <c r="AB5" s="2196"/>
      <c r="AC5" s="2197"/>
      <c r="AD5" s="2198"/>
      <c r="AE5" s="2198"/>
      <c r="AF5" s="2198"/>
      <c r="AG5" s="2198"/>
      <c r="AH5" s="2198"/>
      <c r="AI5" s="2198"/>
      <c r="AJ5" s="2199"/>
      <c r="AK5" s="1286" t="s">
        <v>479</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399</v>
      </c>
      <c r="P6" s="2111"/>
      <c r="Q6" s="2111">
        <v>1</v>
      </c>
      <c r="R6" s="353"/>
      <c r="S6" s="1487">
        <f>$J6</f>
      </c>
      <c r="T6" s="274" t="s">
        <v>400</v>
      </c>
      <c r="U6" s="288"/>
      <c r="V6" s="2095"/>
      <c r="W6" s="2096"/>
      <c r="X6" s="2096"/>
      <c r="Y6" s="2096"/>
      <c r="Z6" s="2096"/>
      <c r="AA6" s="2096"/>
      <c r="AB6" s="2097"/>
      <c r="AC6" s="2095"/>
      <c r="AD6" s="2096"/>
      <c r="AE6" s="2096"/>
      <c r="AF6" s="2096"/>
      <c r="AG6" s="2096"/>
      <c r="AH6" s="2096"/>
      <c r="AI6" s="2096"/>
      <c r="AJ6" s="2097"/>
      <c r="AK6" s="1337" t="s">
        <v>480</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87">
        <f>$K7</f>
      </c>
      <c r="T7" s="1467"/>
      <c r="U7" s="288"/>
      <c r="V7" s="757"/>
      <c r="W7" s="757"/>
      <c r="X7" s="1285"/>
      <c r="Y7" s="2112"/>
      <c r="Z7" s="1981" t="s">
        <v>61</v>
      </c>
      <c r="AA7" s="2112"/>
      <c r="AB7" s="1981" t="s">
        <v>61</v>
      </c>
      <c r="AC7" s="757"/>
      <c r="AD7" s="757"/>
      <c r="AE7" s="1285"/>
      <c r="AF7" s="2112"/>
      <c r="AG7" s="1981" t="s">
        <v>61</v>
      </c>
      <c r="AH7" s="2114"/>
      <c r="AI7" s="1981" t="s">
        <v>61</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86"/>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481</v>
      </c>
      <c r="U9" s="367"/>
      <c r="V9" s="367"/>
      <c r="W9" s="367"/>
      <c r="X9" s="367"/>
      <c r="Y9" s="367"/>
      <c r="Z9" s="367"/>
      <c r="AA9" s="367"/>
      <c r="AB9" s="367"/>
      <c r="AC9" s="367"/>
      <c r="AD9" s="367"/>
      <c r="AE9" s="367"/>
      <c r="AF9" s="367"/>
      <c r="AG9" s="367"/>
      <c r="AH9" s="367"/>
      <c r="AI9" s="367"/>
      <c r="AJ9" s="367"/>
      <c r="AK9" s="1286" t="s">
        <v>482</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80"/>
      <c r="R10" s="352"/>
      <c r="S10" s="1308"/>
      <c r="T10" s="364" t="s">
        <v>405</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483</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4" customFormat="1" customHeight="1" ht="14.25" hidden="1">
      <c r="A12" s="1373"/>
      <c r="B12" s="1373"/>
      <c r="C12" s="1344"/>
      <c r="D12" s="1344"/>
      <c r="E12" s="2108"/>
      <c r="F12" s="2107"/>
      <c r="G12" s="1344"/>
      <c r="H12" s="1344"/>
      <c r="I12" s="1344"/>
      <c r="J12" s="1344"/>
      <c r="K12" s="1344"/>
      <c r="L12" s="1488"/>
      <c r="M12" s="1351"/>
      <c r="N12" s="1351"/>
      <c r="P12" s="1346"/>
      <c r="Q12" s="1347"/>
      <c r="R12" s="1346"/>
      <c r="S12" s="1352"/>
      <c r="T12" s="1355" t="s">
        <v>168</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2"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169</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61</v>
      </c>
      <c r="AH15" s="2105"/>
      <c r="AI15" s="2104" t="s">
        <v>61</v>
      </c>
    </row>
    <row customHeight="1" ht="14.25" hidden="1">
      <c r="AC16" s="1390"/>
      <c r="AD16" s="1390"/>
      <c r="AE16" s="324" t="str">
        <f>AF15&amp;"-"&amp;AH15</f>
        <v>-</v>
      </c>
      <c r="AF16" s="2104"/>
      <c r="AG16" s="2104"/>
      <c r="AH16" s="2104"/>
      <c r="AI16" s="2104"/>
    </row>
    <row customHeight="1" ht="14.25" hidden="1">
      <c r="AI17" s="323"/>
    </row>
    <row s="3293" customFormat="1" customHeight="1" ht="22.5" hidden="1">
      <c r="L18" s="1477"/>
      <c r="M18" s="1392"/>
      <c r="N18" s="1392"/>
      <c r="O18" s="1397" t="s">
        <v>407</v>
      </c>
      <c r="P18" s="1392"/>
      <c r="Q18" s="1401"/>
      <c r="R18" s="1401"/>
      <c r="S18" s="735"/>
      <c r="Y18" s="1397"/>
      <c r="AA18" s="1397"/>
      <c r="AB18" s="1396"/>
      <c r="AF18" s="1397"/>
      <c r="AH18" s="1397"/>
      <c r="AI18" s="1396"/>
      <c r="AL18" s="517"/>
      <c r="AM18" s="517"/>
      <c r="AN18" s="517"/>
      <c r="AO18" s="517"/>
      <c r="AP18" s="517"/>
    </row>
    <row s="3293" customFormat="1" customHeight="1" ht="14.25" hidden="1">
      <c r="L19" s="1477"/>
      <c r="M19" s="1392"/>
      <c r="N19" s="1392"/>
      <c r="O19" s="1392"/>
      <c r="P19" s="1392"/>
      <c r="Q19" s="1401"/>
      <c r="R19" s="1401"/>
      <c r="S19" s="735"/>
      <c r="AB19" s="1396"/>
      <c r="AI19" s="1396"/>
      <c r="AL19" s="517"/>
      <c r="AM19" s="517"/>
      <c r="AN19" s="517"/>
      <c r="AO19" s="517"/>
      <c r="AP19" s="517"/>
    </row>
    <row s="3293" customFormat="1" customHeight="1" ht="12" hidden="1">
      <c r="L20" s="1477"/>
      <c r="M20" s="1392"/>
      <c r="N20" s="1392"/>
      <c r="O20" s="1394" t="s">
        <v>408</v>
      </c>
      <c r="P20" s="1392"/>
      <c r="Q20" s="1472"/>
      <c r="R20" s="1472"/>
      <c r="S20" s="735"/>
      <c r="T20" s="1168" t="s">
        <v>409</v>
      </c>
      <c r="Z20" s="172" t="s">
        <v>410</v>
      </c>
      <c r="AB20" s="172" t="s">
        <v>411</v>
      </c>
      <c r="AC20" s="1168" t="s">
        <v>409</v>
      </c>
      <c r="AG20" s="172" t="s">
        <v>412</v>
      </c>
      <c r="AI20" s="172" t="s">
        <v>411</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МУП г. Азова "Теплоэнерго"</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06"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Региональная служба по тарифам Ростовской области</v>
      </c>
      <c r="W27" s="2100"/>
      <c r="X27" s="2100"/>
      <c r="Y27" s="2100"/>
      <c r="Z27" s="2100"/>
      <c r="AA27" s="2100"/>
      <c r="AB27" s="322"/>
      <c r="AC27" s="2100" t="str">
        <f>IF(TITLE_NAME_OR_PR_CHANGE="",IF(TITLE_NAME_OR_PR="","",TITLE_NAME_OR_PR),TITLE_NAME_OR_PR_CHANGE)</f>
        <v>Региональная служба по тарифам Ростовской области</v>
      </c>
      <c r="AD27" s="2100"/>
      <c r="AE27" s="2100"/>
      <c r="AF27" s="2100"/>
      <c r="AG27" s="2100"/>
      <c r="AH27" s="2100"/>
      <c r="AI27" s="322"/>
      <c r="AJ27" s="322"/>
      <c r="AK27" s="268"/>
      <c r="AL27" s="368"/>
      <c r="AM27" s="368"/>
      <c r="AN27" s="368"/>
      <c r="AO27" s="368"/>
      <c r="AP27" s="368"/>
    </row>
    <row s="3306" customFormat="1" customHeight="1" ht="18.75">
      <c r="A28" s="1398"/>
      <c r="B28" s="1398"/>
      <c r="C28" s="1398"/>
      <c r="D28" s="1398"/>
      <c r="E28" s="1398"/>
      <c r="F28" s="1398"/>
      <c r="G28" s="1398"/>
      <c r="H28" s="1398"/>
      <c r="I28" s="1398"/>
      <c r="J28" s="1398"/>
      <c r="K28" s="1398"/>
      <c r="L28" s="1399"/>
      <c r="M28" s="1398"/>
      <c r="N28" s="1398"/>
      <c r="O28" s="1398"/>
      <c r="S28" s="2098" t="s">
        <v>413</v>
      </c>
      <c r="T28" s="2098"/>
      <c r="U28" s="1402"/>
      <c r="V28" s="2099" t="str">
        <f>IF(TITLE_DATE_PR_CHANGE="",IF(TITLE_DATE_PR="","",TITLE_DATE_PR),TITLE_DATE_PR_CHANGE)</f>
        <v>45245.61800925926</v>
      </c>
      <c r="W28" s="2099"/>
      <c r="X28" s="2099"/>
      <c r="Y28" s="2099"/>
      <c r="Z28" s="2099"/>
      <c r="AA28" s="2099"/>
      <c r="AB28" s="322"/>
      <c r="AC28" s="2099" t="str">
        <f>IF(TITLE_DATE_PR_CHANGE="",IF(TITLE_DATE_PR="","",TITLE_DATE_PR),TITLE_DATE_PR_CHANGE)</f>
        <v>45245.61800925926</v>
      </c>
      <c r="AD28" s="2099"/>
      <c r="AE28" s="2099"/>
      <c r="AF28" s="2099"/>
      <c r="AG28" s="2099"/>
      <c r="AH28" s="2099"/>
      <c r="AI28" s="322"/>
      <c r="AJ28" s="322"/>
      <c r="AK28" s="268"/>
      <c r="AL28" s="368"/>
      <c r="AM28" s="368"/>
      <c r="AN28" s="368"/>
      <c r="AO28" s="368"/>
      <c r="AP28" s="368"/>
    </row>
    <row s="3306" customFormat="1" customHeight="1" ht="18.75">
      <c r="A29" s="1398"/>
      <c r="B29" s="1398"/>
      <c r="C29" s="1398"/>
      <c r="D29" s="1398"/>
      <c r="E29" s="1398"/>
      <c r="F29" s="1398"/>
      <c r="G29" s="1398"/>
      <c r="H29" s="1398"/>
      <c r="I29" s="1398"/>
      <c r="J29" s="1398"/>
      <c r="K29" s="1398"/>
      <c r="L29" s="1399"/>
      <c r="M29" s="1398"/>
      <c r="N29" s="1398"/>
      <c r="O29" s="1398"/>
      <c r="S29" s="2098" t="s">
        <v>414</v>
      </c>
      <c r="T29" s="2098"/>
      <c r="U29" s="1402"/>
      <c r="V29" s="2100" t="str">
        <f>IF(TITLE_NUMBER_PR_CHANGE="",IF(TITLE_NUMBER_PR="","",TITLE_NUMBER_PR),TITLE_NUMBER_PR_CHANGE)</f>
        <v>550</v>
      </c>
      <c r="W29" s="2100"/>
      <c r="X29" s="2100"/>
      <c r="Y29" s="2100"/>
      <c r="Z29" s="2100"/>
      <c r="AA29" s="2100"/>
      <c r="AB29" s="322"/>
      <c r="AC29" s="2100" t="str">
        <f>IF(TITLE_NUMBER_PR_CHANGE="",IF(TITLE_NUMBER_PR="","",TITLE_NUMBER_PR),TITLE_NUMBER_PR_CHANGE)</f>
        <v>550</v>
      </c>
      <c r="AD29" s="2100"/>
      <c r="AE29" s="2100"/>
      <c r="AF29" s="2100"/>
      <c r="AG29" s="2100"/>
      <c r="AH29" s="2100"/>
      <c r="AI29" s="322"/>
      <c r="AJ29" s="322"/>
      <c r="AK29" s="268"/>
      <c r="AL29" s="368"/>
      <c r="AM29" s="368"/>
      <c r="AN29" s="368"/>
      <c r="AO29" s="368"/>
      <c r="AP29" s="368"/>
    </row>
    <row s="3306"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https://rst.donland.ru</v>
      </c>
      <c r="W30" s="2100"/>
      <c r="X30" s="2100"/>
      <c r="Y30" s="2100"/>
      <c r="Z30" s="2100"/>
      <c r="AA30" s="2100"/>
      <c r="AB30" s="322"/>
      <c r="AC30" s="2100" t="str">
        <f>IF(TITLE_IST_PUB_CHANGE="",IF(TITLE_IST_PUB="","",TITLE_IST_PUB),TITLE_IST_PUB_CHANGE)</f>
        <v>https://rst.donland.ru</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06" customFormat="1" customHeight="1" ht="18.75" hidden="1">
      <c r="A32" s="1398"/>
      <c r="B32" s="1398"/>
      <c r="C32" s="1398"/>
      <c r="D32" s="1398"/>
      <c r="E32" s="1398"/>
      <c r="F32" s="1398"/>
      <c r="G32" s="1398"/>
      <c r="H32" s="1398"/>
      <c r="I32" s="1398"/>
      <c r="J32" s="1398"/>
      <c r="K32" s="1398"/>
      <c r="L32" s="1399"/>
      <c r="M32" s="1398"/>
      <c r="N32" s="1398"/>
      <c r="O32" s="1398"/>
      <c r="S32" s="2098" t="s">
        <v>415</v>
      </c>
      <c r="T32" s="2098"/>
      <c r="U32" s="1402"/>
      <c r="V32" s="2099" t="str">
        <f>IF(TITLE_DATE_PR_CHANGE="",IF(TITLE_DATE_PR="","",TITLE_DATE_PR),TITLE_DATE_PR_CHANGE)</f>
        <v>45245.61800925926</v>
      </c>
      <c r="W32" s="2099"/>
      <c r="X32" s="2099"/>
      <c r="Y32" s="2099"/>
      <c r="Z32" s="2099"/>
      <c r="AA32" s="2099"/>
      <c r="AB32" s="322"/>
      <c r="AC32" s="2099" t="str">
        <f>IF(TITLE_DATE_PR_CHANGE="",IF(TITLE_DATE_PR="","",TITLE_DATE_PR),TITLE_DATE_PR_CHANGE)</f>
        <v>45245.61800925926</v>
      </c>
      <c r="AD32" s="2099"/>
      <c r="AE32" s="2099"/>
      <c r="AF32" s="2099"/>
      <c r="AG32" s="2099"/>
      <c r="AH32" s="2099"/>
      <c r="AI32" s="322"/>
      <c r="AJ32" s="322"/>
      <c r="AK32" s="268"/>
      <c r="AL32" s="368"/>
      <c r="AM32" s="368"/>
      <c r="AN32" s="368"/>
      <c r="AO32" s="368"/>
      <c r="AP32" s="368"/>
    </row>
    <row s="3306" customFormat="1" customHeight="1" ht="18.75" hidden="1">
      <c r="A33" s="1398"/>
      <c r="B33" s="1398"/>
      <c r="C33" s="1398"/>
      <c r="D33" s="1398"/>
      <c r="E33" s="1398"/>
      <c r="F33" s="1398"/>
      <c r="G33" s="1398"/>
      <c r="H33" s="1398"/>
      <c r="I33" s="1398"/>
      <c r="J33" s="1398"/>
      <c r="K33" s="1398"/>
      <c r="L33" s="1399"/>
      <c r="M33" s="1398"/>
      <c r="N33" s="1398"/>
      <c r="O33" s="1398"/>
      <c r="S33" s="2098" t="s">
        <v>416</v>
      </c>
      <c r="T33" s="2098"/>
      <c r="U33" s="1402"/>
      <c r="V33" s="2100" t="str">
        <f>IF(TITLE_NUMBER_PR_CHANGE="",IF(TITLE_NUMBER_PR="","",TITLE_NUMBER_PR),TITLE_NUMBER_PR_CHANGE)</f>
        <v>550</v>
      </c>
      <c r="W33" s="2100"/>
      <c r="X33" s="2100"/>
      <c r="Y33" s="2100"/>
      <c r="Z33" s="2100"/>
      <c r="AA33" s="2100"/>
      <c r="AB33" s="322"/>
      <c r="AC33" s="2100" t="str">
        <f>IF(TITLE_NUMBER_PR_CHANGE="",IF(TITLE_NUMBER_PR="","",TITLE_NUMBER_PR),TITLE_NUMBER_PR_CHANGE)</f>
        <v>550</v>
      </c>
      <c r="AD33" s="2100"/>
      <c r="AE33" s="2100"/>
      <c r="AF33" s="2100"/>
      <c r="AG33" s="2100"/>
      <c r="AH33" s="2100"/>
      <c r="AI33" s="322"/>
      <c r="AJ33" s="322"/>
      <c r="AK33" s="268"/>
      <c r="AL33" s="368"/>
      <c r="AM33" s="368"/>
      <c r="AN33" s="368"/>
      <c r="AO33" s="368"/>
      <c r="AP33" s="368"/>
    </row>
    <row s="3306" customFormat="1" customHeight="1" ht="0.75">
      <c r="A34" s="1398"/>
      <c r="B34" s="1398"/>
      <c r="C34" s="1398"/>
      <c r="D34" s="1398"/>
      <c r="E34" s="1398"/>
      <c r="F34" s="1398"/>
      <c r="G34" s="1398"/>
      <c r="H34" s="1398"/>
      <c r="I34" s="1398"/>
      <c r="J34" s="1398"/>
      <c r="K34" s="1398"/>
      <c r="L34" s="1399"/>
      <c r="M34" s="1398"/>
      <c r="N34" s="1398"/>
      <c r="O34" s="1398"/>
      <c r="S34" s="318"/>
      <c r="T34" s="318"/>
      <c r="U34" s="1484"/>
      <c r="V34" s="322"/>
      <c r="W34" s="322"/>
      <c r="X34" s="322"/>
      <c r="Y34" s="322"/>
      <c r="Z34" s="322"/>
      <c r="AA34" s="322"/>
      <c r="AB34" s="266" t="s">
        <v>417</v>
      </c>
      <c r="AC34" s="322"/>
      <c r="AD34" s="322"/>
      <c r="AE34" s="322"/>
      <c r="AF34" s="322"/>
      <c r="AG34" s="322"/>
      <c r="AH34" s="322"/>
      <c r="AI34" s="266" t="s">
        <v>417</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291</v>
      </c>
      <c r="T36" s="1971"/>
      <c r="U36" s="1971"/>
      <c r="V36" s="1971"/>
      <c r="W36" s="1971"/>
      <c r="X36" s="1971"/>
      <c r="Y36" s="1971"/>
      <c r="Z36" s="1971"/>
      <c r="AA36" s="1971"/>
      <c r="AB36" s="1971"/>
      <c r="AC36" s="1971"/>
      <c r="AD36" s="1971"/>
      <c r="AE36" s="1971"/>
      <c r="AF36" s="1971"/>
      <c r="AG36" s="1971"/>
      <c r="AH36" s="1971"/>
      <c r="AI36" s="1971"/>
      <c r="AJ36" s="1971"/>
      <c r="AK36" s="1971" t="s">
        <v>292</v>
      </c>
    </row>
    <row customHeight="1" ht="14.25">
      <c r="Q37" s="377"/>
      <c r="R37" s="377"/>
      <c r="S37" s="2125" t="s">
        <v>87</v>
      </c>
      <c r="T37" s="2062" t="s">
        <v>418</v>
      </c>
      <c r="U37" s="289"/>
      <c r="V37" s="2126" t="s">
        <v>419</v>
      </c>
      <c r="W37" s="2127"/>
      <c r="X37" s="2127"/>
      <c r="Y37" s="2127"/>
      <c r="Z37" s="2127"/>
      <c r="AA37" s="2128"/>
      <c r="AB37" s="2129" t="s">
        <v>420</v>
      </c>
      <c r="AC37" s="2126" t="s">
        <v>419</v>
      </c>
      <c r="AD37" s="2127"/>
      <c r="AE37" s="2127"/>
      <c r="AF37" s="2127"/>
      <c r="AG37" s="2127"/>
      <c r="AH37" s="2128"/>
      <c r="AI37" s="2129" t="s">
        <v>421</v>
      </c>
      <c r="AJ37" s="2132" t="s">
        <v>422</v>
      </c>
      <c r="AK37" s="1971"/>
    </row>
    <row customHeight="1" ht="33.75">
      <c r="Q38" s="377"/>
      <c r="R38" s="377"/>
      <c r="S38" s="2125"/>
      <c r="T38" s="2062"/>
      <c r="U38" s="1038"/>
      <c r="V38" s="1482" t="s">
        <v>484</v>
      </c>
      <c r="W38" s="2118" t="s">
        <v>425</v>
      </c>
      <c r="X38" s="2120"/>
      <c r="Y38" s="2118" t="s">
        <v>426</v>
      </c>
      <c r="Z38" s="2119"/>
      <c r="AA38" s="2120"/>
      <c r="AB38" s="2130"/>
      <c r="AC38" s="1482" t="s">
        <v>484</v>
      </c>
      <c r="AD38" s="2118" t="s">
        <v>425</v>
      </c>
      <c r="AE38" s="2120"/>
      <c r="AF38" s="2118" t="s">
        <v>426</v>
      </c>
      <c r="AG38" s="2119"/>
      <c r="AH38" s="2120"/>
      <c r="AI38" s="2130"/>
      <c r="AJ38" s="2133"/>
      <c r="AK38" s="1971"/>
    </row>
    <row customHeight="1" ht="33.75">
      <c r="A39" s="1400"/>
      <c r="B39" s="1400" t="s">
        <v>134</v>
      </c>
      <c r="C39" s="1400" t="s">
        <v>135</v>
      </c>
      <c r="D39" s="1400" t="s">
        <v>136</v>
      </c>
      <c r="E39" s="1394" t="s">
        <v>427</v>
      </c>
      <c r="F39" s="1394" t="s">
        <v>428</v>
      </c>
      <c r="G39" s="1394" t="s">
        <v>429</v>
      </c>
      <c r="H39" s="1394"/>
      <c r="I39" s="1394" t="s">
        <v>485</v>
      </c>
      <c r="J39" s="1394" t="s">
        <v>432</v>
      </c>
      <c r="K39" s="1394" t="s">
        <v>486</v>
      </c>
      <c r="L39" s="1394" t="s">
        <v>408</v>
      </c>
      <c r="Q39" s="377"/>
      <c r="R39" s="377"/>
      <c r="S39" s="2125"/>
      <c r="T39" s="2062"/>
      <c r="U39" s="290"/>
      <c r="V39" s="1482" t="s">
        <v>487</v>
      </c>
      <c r="W39" s="1237" t="s">
        <v>488</v>
      </c>
      <c r="X39" s="1237" t="s">
        <v>489</v>
      </c>
      <c r="Y39" s="1485" t="s">
        <v>436</v>
      </c>
      <c r="Z39" s="2121" t="s">
        <v>437</v>
      </c>
      <c r="AA39" s="2122"/>
      <c r="AB39" s="2131"/>
      <c r="AC39" s="1482" t="s">
        <v>487</v>
      </c>
      <c r="AD39" s="1237" t="s">
        <v>488</v>
      </c>
      <c r="AE39" s="1237" t="s">
        <v>489</v>
      </c>
      <c r="AF39" s="1485" t="s">
        <v>436</v>
      </c>
      <c r="AG39" s="2121" t="s">
        <v>437</v>
      </c>
      <c r="AH39" s="2122"/>
      <c r="AI39" s="2131"/>
      <c r="AJ39" s="2134"/>
      <c r="AK39" s="1971"/>
    </row>
    <row s="2611"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108</v>
      </c>
      <c r="T40" s="1281" t="s">
        <v>109</v>
      </c>
      <c r="U40" s="1263" t="str">
        <f>OFFSET(U40,0,-1)</f>
        <v>2</v>
      </c>
      <c r="V40" s="1481">
        <f>OFFSET(V40,0,-1)+1</f>
        <v>3</v>
      </c>
      <c r="W40" s="1481">
        <f>OFFSET(W40,0,-1)+1</f>
        <v>4</v>
      </c>
      <c r="X40" s="1481">
        <f>OFFSET(X40,0,-1)+1</f>
        <v>5</v>
      </c>
      <c r="Y40" s="1481">
        <f>OFFSET(Y40,0,-1)+1</f>
        <v>6</v>
      </c>
      <c r="Z40" s="2123">
        <f>OFFSET(Z40,0,-1)+1</f>
        <v>7</v>
      </c>
      <c r="AA40" s="2123"/>
      <c r="AB40" s="1481">
        <f>OFFSET(AB40,0,-2)+1</f>
        <v>8</v>
      </c>
      <c r="AC40" s="1481">
        <f>OFFSET(AC40,0,-1)+1</f>
        <v>9</v>
      </c>
      <c r="AD40" s="1481">
        <f>OFFSET(AD40,0,-1)+1</f>
        <v>10</v>
      </c>
      <c r="AE40" s="1481">
        <f>OFFSET(AE40,0,-1)+1</f>
        <v>11</v>
      </c>
      <c r="AF40" s="1481">
        <f>OFFSET(AF40,0,-1)+1</f>
        <v>12</v>
      </c>
      <c r="AG40" s="2123">
        <f>OFFSET(AG40,0,-1)+1</f>
        <v>13</v>
      </c>
      <c r="AH40" s="2123"/>
      <c r="AI40" s="1481">
        <f>OFFSET(AI40,0,-2)+1</f>
        <v>14</v>
      </c>
      <c r="AJ40" s="1263">
        <f>OFFSET(AJ40,0,-1)</f>
        <v>14</v>
      </c>
      <c r="AK40" s="1481">
        <f>OFFSET(AK40,0,-1)+1</f>
        <v>15</v>
      </c>
      <c r="AL40" s="517"/>
      <c r="AM40" s="517"/>
      <c r="AN40" s="517"/>
      <c r="AO40" s="517"/>
      <c r="AP40" s="517"/>
    </row>
    <row customHeight="1" ht="23.25">
      <c r="A41" s="1393" t="s">
        <v>222</v>
      </c>
      <c r="B41" s="1393"/>
      <c r="C41" s="1393"/>
      <c r="D41" s="1393"/>
      <c r="E41" s="2107">
        <v>1</v>
      </c>
      <c r="F41" s="1393"/>
      <c r="G41" s="1393"/>
      <c r="H41" s="1393"/>
      <c r="I41" s="1393"/>
      <c r="J41" s="1393"/>
      <c r="K41" s="1393"/>
      <c r="L41" s="1394"/>
      <c r="M41" s="1395"/>
      <c r="N41" s="1395"/>
      <c r="O41" s="1395"/>
      <c r="P41" s="357"/>
      <c r="Q41" s="356"/>
      <c r="R41" s="351"/>
      <c r="S41" s="1487">
        <f>INDEX(PT_DIFFERENTIATION_NUM_NTAR,MATCH(A41,PT_DIFFERENTIATION_NTAR_ID,0))</f>
        <v>0</v>
      </c>
      <c r="T41" s="286" t="s">
        <v>122</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222</v>
      </c>
      <c r="B42" s="1393" t="s">
        <v>223</v>
      </c>
      <c r="C42" s="1393"/>
      <c r="D42" s="1393"/>
      <c r="E42" s="2108"/>
      <c r="F42" s="2107">
        <v>1</v>
      </c>
      <c r="G42" s="1393"/>
      <c r="H42" s="1393"/>
      <c r="I42" s="1393"/>
      <c r="J42" s="1393"/>
      <c r="K42" s="1393"/>
      <c r="L42" s="1394"/>
      <c r="M42" s="1395"/>
      <c r="N42" s="1395"/>
      <c r="O42" s="1395"/>
      <c r="P42" s="1483"/>
      <c r="Q42" s="348"/>
      <c r="R42" s="349"/>
      <c r="S42" s="1487" t="str">
        <f>INDEX(PT_DIFFERENTIATION_NUM_TER,MATCH(B42,PT_DIFFERENTIATION_TER_ID,0))</f>
        <v>.</v>
      </c>
      <c r="T42" s="298" t="s">
        <v>390</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391</v>
      </c>
      <c r="AM42" s="506"/>
      <c r="AN42" s="506" t="str">
        <f>IF(T42="","",T42)</f>
        <v>Территория действия тарифа</v>
      </c>
      <c r="AO42" s="506"/>
      <c r="AP42" s="506"/>
    </row>
    <row customHeight="1" ht="23.25">
      <c r="A43" s="1393" t="s">
        <v>222</v>
      </c>
      <c r="B43" s="1393" t="s">
        <v>223</v>
      </c>
      <c r="C43" s="1393" t="s">
        <v>224</v>
      </c>
      <c r="D43" s="1393"/>
      <c r="E43" s="2108"/>
      <c r="F43" s="2108"/>
      <c r="G43" s="2107">
        <v>1</v>
      </c>
      <c r="H43" s="1393"/>
      <c r="I43" s="1393"/>
      <c r="J43" s="1393"/>
      <c r="K43" s="1393"/>
      <c r="L43" s="1394"/>
      <c r="M43" s="1395"/>
      <c r="N43" s="1395"/>
      <c r="O43" s="1395"/>
      <c r="P43" s="350"/>
      <c r="Q43" s="348"/>
      <c r="R43" s="349"/>
      <c r="S43" s="1487" t="str">
        <f>INDEX(PT_DIFFERENTIATION_NUM_CS,MATCH(C43,PT_DIFFERENTIATION_CS_ID,0))</f>
        <v>..</v>
      </c>
      <c r="T43" s="299" t="s">
        <v>476</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477</v>
      </c>
      <c r="AM43" s="506"/>
      <c r="AN43" s="506" t="str">
        <f>IF(T43="","",T43)</f>
        <v>Наименование централизованной системы холодного водоснабжения</v>
      </c>
      <c r="AO43" s="506"/>
      <c r="AP43" s="506"/>
    </row>
    <row customHeight="1" ht="23.25">
      <c r="A44" s="1393" t="s">
        <v>222</v>
      </c>
      <c r="B44" s="1393" t="s">
        <v>223</v>
      </c>
      <c r="C44" s="1393" t="s">
        <v>224</v>
      </c>
      <c r="D44" s="1393" t="s">
        <v>491</v>
      </c>
      <c r="E44" s="2108"/>
      <c r="F44" s="2108"/>
      <c r="G44" s="2108"/>
      <c r="H44" s="2108"/>
      <c r="I44" s="2109" t="str">
        <f>S43&amp;".1"</f>
        <v>...1</v>
      </c>
      <c r="J44" s="1393"/>
      <c r="K44" s="1393"/>
      <c r="L44" s="1394"/>
      <c r="P44" s="2111">
        <v>1</v>
      </c>
      <c r="Q44" s="1480"/>
      <c r="R44" s="352"/>
      <c r="S44" s="1487" t="str">
        <f>$I44</f>
        <v>...1</v>
      </c>
      <c r="T44" s="273" t="s">
        <v>478</v>
      </c>
      <c r="U44" s="288"/>
      <c r="V44" s="2194"/>
      <c r="W44" s="2195"/>
      <c r="X44" s="2195"/>
      <c r="Y44" s="2195"/>
      <c r="Z44" s="2195"/>
      <c r="AA44" s="2195"/>
      <c r="AB44" s="2196"/>
      <c r="AC44" s="2197"/>
      <c r="AD44" s="2198"/>
      <c r="AE44" s="2198"/>
      <c r="AF44" s="2198"/>
      <c r="AG44" s="2198"/>
      <c r="AH44" s="2198"/>
      <c r="AI44" s="2198"/>
      <c r="AJ44" s="2199"/>
      <c r="AK44" s="1286" t="s">
        <v>479</v>
      </c>
      <c r="AM44" s="506"/>
      <c r="AN44" s="506" t="str">
        <f>IF(T44="","",T44)</f>
        <v>Наименование признака дифференциации</v>
      </c>
      <c r="AO44" s="506"/>
      <c r="AP44" s="506"/>
    </row>
    <row customHeight="1" ht="23.25">
      <c r="A45" s="1393" t="s">
        <v>222</v>
      </c>
      <c r="B45" s="1393" t="s">
        <v>223</v>
      </c>
      <c r="C45" s="1393" t="s">
        <v>224</v>
      </c>
      <c r="D45" s="1393" t="s">
        <v>491</v>
      </c>
      <c r="E45" s="2108"/>
      <c r="F45" s="2108"/>
      <c r="G45" s="2108"/>
      <c r="H45" s="2108"/>
      <c r="I45" s="2110"/>
      <c r="J45" s="2109" t="str">
        <f>I44&amp;".1"</f>
        <v>...1.1</v>
      </c>
      <c r="K45" s="1393"/>
      <c r="L45" s="1394" t="s">
        <v>399</v>
      </c>
      <c r="P45" s="2111"/>
      <c r="Q45" s="2111">
        <v>1</v>
      </c>
      <c r="R45" s="353"/>
      <c r="S45" s="1487" t="str">
        <f>$J45</f>
        <v>...1.1</v>
      </c>
      <c r="T45" s="274" t="s">
        <v>400</v>
      </c>
      <c r="U45" s="288"/>
      <c r="V45" s="2095"/>
      <c r="W45" s="2096"/>
      <c r="X45" s="2096"/>
      <c r="Y45" s="2096"/>
      <c r="Z45" s="2096"/>
      <c r="AA45" s="2096"/>
      <c r="AB45" s="2097"/>
      <c r="AC45" s="2095"/>
      <c r="AD45" s="2096"/>
      <c r="AE45" s="2096"/>
      <c r="AF45" s="2096"/>
      <c r="AG45" s="2096"/>
      <c r="AH45" s="2096"/>
      <c r="AI45" s="2096"/>
      <c r="AJ45" s="2097"/>
      <c r="AK45" s="1337" t="s">
        <v>480</v>
      </c>
      <c r="AM45" s="506"/>
      <c r="AN45" s="506" t="str">
        <f>IF(T45="","",T45)</f>
        <v>Группа потребителей</v>
      </c>
      <c r="AO45" s="506"/>
      <c r="AP45" s="506"/>
    </row>
    <row customHeight="1" ht="23.25">
      <c r="A46" s="1393" t="s">
        <v>222</v>
      </c>
      <c r="B46" s="1393" t="s">
        <v>223</v>
      </c>
      <c r="C46" s="1393" t="s">
        <v>224</v>
      </c>
      <c r="D46" s="1393" t="s">
        <v>491</v>
      </c>
      <c r="E46" s="2108"/>
      <c r="F46" s="2108"/>
      <c r="G46" s="2108"/>
      <c r="H46" s="2108"/>
      <c r="I46" s="2110"/>
      <c r="J46" s="2110"/>
      <c r="K46" s="2109" t="str">
        <f>J45&amp;".1"</f>
        <v>...1.1.1</v>
      </c>
      <c r="L46" s="1394"/>
      <c r="P46" s="2111"/>
      <c r="Q46" s="2111"/>
      <c r="R46" s="353">
        <v>1</v>
      </c>
      <c r="S46" s="1487" t="str">
        <f>$K46</f>
        <v>...1.1.1</v>
      </c>
      <c r="T46" s="1467"/>
      <c r="U46" s="288"/>
      <c r="V46" s="757"/>
      <c r="W46" s="757"/>
      <c r="X46" s="1285"/>
      <c r="Y46" s="2112"/>
      <c r="Z46" s="1981" t="s">
        <v>61</v>
      </c>
      <c r="AA46" s="2112"/>
      <c r="AB46" s="1981" t="s">
        <v>61</v>
      </c>
      <c r="AC46" s="757"/>
      <c r="AD46" s="757"/>
      <c r="AE46" s="1285"/>
      <c r="AF46" s="2112"/>
      <c r="AG46" s="1981" t="s">
        <v>61</v>
      </c>
      <c r="AH46" s="2114"/>
      <c r="AI46" s="1981" t="s">
        <v>61</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222</v>
      </c>
      <c r="B47" s="1393" t="s">
        <v>223</v>
      </c>
      <c r="C47" s="1393" t="s">
        <v>224</v>
      </c>
      <c r="D47" s="1393" t="s">
        <v>491</v>
      </c>
      <c r="E47" s="2108"/>
      <c r="F47" s="2108"/>
      <c r="G47" s="2108"/>
      <c r="H47" s="2108"/>
      <c r="I47" s="2110"/>
      <c r="J47" s="2110"/>
      <c r="K47" s="2109"/>
      <c r="L47" s="1394"/>
      <c r="P47" s="2111"/>
      <c r="Q47" s="2111"/>
      <c r="R47" s="353"/>
      <c r="S47" s="1486"/>
      <c r="T47" s="288"/>
      <c r="U47" s="288"/>
      <c r="V47" s="320"/>
      <c r="W47" s="320"/>
      <c r="X47" s="324" t="str">
        <f>Y46&amp;"-"&amp;AA46</f>
        <v>-</v>
      </c>
      <c r="Y47" s="2113"/>
      <c r="Z47" s="1981"/>
      <c r="AA47" s="2113"/>
      <c r="AB47" s="1981"/>
      <c r="AC47" s="320"/>
      <c r="AD47" s="320"/>
      <c r="AE47" s="324" t="str">
        <f>AF46&amp;"-"&amp;AH46</f>
        <v>-</v>
      </c>
      <c r="AF47" s="2113"/>
      <c r="AG47" s="1981"/>
      <c r="AH47" s="2115"/>
      <c r="AI47" s="1981"/>
      <c r="AJ47" s="1469"/>
      <c r="AK47" s="2200"/>
      <c r="AM47" s="506"/>
      <c r="AN47" s="506" t="str">
        <f>IF(T47="","",T47)</f>
        <v/>
      </c>
      <c r="AO47" s="506"/>
      <c r="AP47" s="506"/>
    </row>
    <row customHeight="1" ht="21">
      <c r="A48" s="1393" t="s">
        <v>222</v>
      </c>
      <c r="B48" s="1393" t="s">
        <v>223</v>
      </c>
      <c r="C48" s="1393" t="s">
        <v>224</v>
      </c>
      <c r="D48" s="1393" t="s">
        <v>491</v>
      </c>
      <c r="E48" s="2108"/>
      <c r="F48" s="2108"/>
      <c r="G48" s="2108"/>
      <c r="H48" s="2108"/>
      <c r="I48" s="2110"/>
      <c r="J48" s="2109"/>
      <c r="K48" s="1393"/>
      <c r="L48" s="1394"/>
      <c r="P48" s="2111"/>
      <c r="Q48" s="2111"/>
      <c r="R48" s="352"/>
      <c r="S48" s="1308"/>
      <c r="T48" s="275" t="s">
        <v>481</v>
      </c>
      <c r="U48" s="367"/>
      <c r="V48" s="367"/>
      <c r="W48" s="367"/>
      <c r="X48" s="367"/>
      <c r="Y48" s="367"/>
      <c r="Z48" s="367"/>
      <c r="AA48" s="367"/>
      <c r="AB48" s="367"/>
      <c r="AC48" s="367"/>
      <c r="AD48" s="367"/>
      <c r="AE48" s="367"/>
      <c r="AF48" s="367"/>
      <c r="AG48" s="367"/>
      <c r="AH48" s="367"/>
      <c r="AI48" s="367"/>
      <c r="AJ48" s="367"/>
      <c r="AK48" s="1286" t="s">
        <v>482</v>
      </c>
      <c r="AM48" s="506"/>
      <c r="AN48" s="506" t="str">
        <f>IF(T48="","",T48)</f>
        <v>Добавить значение признака дифференциации</v>
      </c>
      <c r="AO48" s="506"/>
      <c r="AP48" s="506"/>
    </row>
    <row customHeight="1" ht="21">
      <c r="A49" s="1393" t="s">
        <v>222</v>
      </c>
      <c r="B49" s="1393" t="s">
        <v>223</v>
      </c>
      <c r="C49" s="1393" t="s">
        <v>224</v>
      </c>
      <c r="D49" s="1393" t="s">
        <v>491</v>
      </c>
      <c r="E49" s="2108"/>
      <c r="F49" s="2108"/>
      <c r="G49" s="2108"/>
      <c r="H49" s="2108"/>
      <c r="I49" s="2109"/>
      <c r="J49" s="1393"/>
      <c r="K49" s="1393"/>
      <c r="L49" s="1394"/>
      <c r="P49" s="2111"/>
      <c r="Q49" s="1480"/>
      <c r="R49" s="352"/>
      <c r="S49" s="1308"/>
      <c r="T49" s="364" t="s">
        <v>405</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222</v>
      </c>
      <c r="B50" s="1393" t="s">
        <v>223</v>
      </c>
      <c r="C50" s="1393" t="s">
        <v>224</v>
      </c>
      <c r="D50" s="1393" t="s">
        <v>491</v>
      </c>
      <c r="E50" s="2108"/>
      <c r="F50" s="2108"/>
      <c r="G50" s="2108"/>
      <c r="H50" s="2107"/>
      <c r="I50" s="1393"/>
      <c r="J50" s="1393"/>
      <c r="K50" s="1393"/>
      <c r="L50" s="1394"/>
      <c r="M50" s="1395"/>
      <c r="N50" s="1395"/>
      <c r="O50" s="543"/>
      <c r="P50" s="356"/>
      <c r="Q50" s="376"/>
      <c r="R50" s="351"/>
      <c r="S50" s="1308"/>
      <c r="T50" s="372" t="s">
        <v>483</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4" customFormat="1" customHeight="1" ht="0">
      <c r="A51" s="1373" t="s">
        <v>222</v>
      </c>
      <c r="B51" s="1373" t="s">
        <v>223</v>
      </c>
      <c r="C51" s="1344"/>
      <c r="D51" s="1344"/>
      <c r="E51" s="2108"/>
      <c r="F51" s="2107"/>
      <c r="G51" s="1344"/>
      <c r="H51" s="1344"/>
      <c r="I51" s="1344"/>
      <c r="J51" s="1344"/>
      <c r="K51" s="1344"/>
      <c r="L51" s="1488"/>
      <c r="M51" s="1351"/>
      <c r="N51" s="1351"/>
      <c r="P51" s="1346"/>
      <c r="Q51" s="1347"/>
      <c r="R51" s="1346"/>
      <c r="S51" s="1352"/>
      <c r="T51" s="1355" t="s">
        <v>168</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2" customFormat="1" customHeight="1" ht="0">
      <c r="A52" s="1373" t="s">
        <v>222</v>
      </c>
      <c r="B52" s="1373"/>
      <c r="C52" s="1373"/>
      <c r="D52" s="1373"/>
      <c r="E52" s="2107"/>
      <c r="F52" s="1373"/>
      <c r="G52" s="1373"/>
      <c r="H52" s="1373"/>
      <c r="I52" s="1373"/>
      <c r="J52" s="1373"/>
      <c r="K52" s="1373"/>
      <c r="L52" s="1376"/>
      <c r="M52" s="1351"/>
      <c r="N52" s="1351"/>
      <c r="O52" s="524"/>
      <c r="P52" s="385"/>
      <c r="Q52" s="1374"/>
      <c r="R52" s="385"/>
      <c r="S52" s="1352"/>
      <c r="T52" s="1355" t="s">
        <v>169</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4" customFormat="1" customHeight="1" ht="0">
      <c r="A53" s="1344"/>
      <c r="B53" s="1344"/>
      <c r="C53" s="1344"/>
      <c r="D53" s="1344"/>
      <c r="E53" s="1373"/>
      <c r="F53" s="1344"/>
      <c r="G53" s="1344"/>
      <c r="H53" s="1344"/>
      <c r="I53" s="1344"/>
      <c r="J53" s="1344"/>
      <c r="K53" s="1344"/>
      <c r="L53" s="1488"/>
      <c r="M53" s="1351"/>
      <c r="N53" s="1351"/>
      <c r="P53" s="1346"/>
      <c r="Q53" s="1347"/>
      <c r="R53" s="1346"/>
      <c r="S53" s="1352"/>
      <c r="T53" s="1355" t="s">
        <v>170</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B96658-2405-4FF8-2006-F93C271652AA}"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93" width="10.57421875" hidden="1"/>
    <col min="2" max="2" style="3293" width="11.00390625" hidden="1" customWidth="1"/>
    <col min="3" max="3" style="3293" width="10.57421875" hidden="1"/>
    <col min="4" max="4" style="3293" width="11.8515625" hidden="1" customWidth="1"/>
    <col min="5" max="5" style="3293" width="10.00390625" hidden="1" customWidth="1"/>
    <col min="6" max="6" style="3293" width="8.7109375" hidden="1" customWidth="1"/>
    <col min="7" max="7" style="3293" width="7.57421875" hidden="1" customWidth="1"/>
    <col min="8" max="8" style="3293" width="11.421875" hidden="1" customWidth="1"/>
    <col min="9" max="9" style="3293" width="14.140625" hidden="1" customWidth="1"/>
    <col min="10" max="10" style="3293" width="9.8515625" hidden="1" customWidth="1"/>
    <col min="11" max="11" style="3293" width="14.7109375" hidden="1" customWidth="1"/>
    <col min="12" max="12" style="3980" width="19.140625" hidden="1" customWidth="1"/>
    <col min="13" max="14" style="3295" width="12.28125" hidden="1" customWidth="1"/>
    <col min="15" max="15" style="3295" width="23.421875" hidden="1" customWidth="1"/>
    <col min="16" max="16" style="3985" width="3.7109375" customWidth="1"/>
    <col min="17" max="18" style="3372" width="3.7109375" customWidth="1"/>
    <col min="19" max="19" style="3373" width="12.7109375" customWidth="1"/>
    <col min="20" max="20" style="2941" width="35.7109375" customWidth="1"/>
    <col min="21" max="21" style="2941" width="0.140625" customWidth="1"/>
    <col min="22" max="24" style="2941" width="24.7109375" hidden="1" customWidth="1"/>
    <col min="25" max="25" style="2941" width="11.7109375" hidden="1" customWidth="1"/>
    <col min="26" max="26" style="2941" width="3.7109375" hidden="1" customWidth="1"/>
    <col min="27" max="27" style="2941" width="11.7109375" hidden="1" customWidth="1"/>
    <col min="28" max="28" style="2941" width="8.57421875" hidden="1" customWidth="1"/>
    <col min="29" max="31" style="2941" width="24.7109375" customWidth="1"/>
    <col min="32" max="32" style="2941" width="11.7109375" customWidth="1"/>
    <col min="33" max="33" style="2941" width="3.7109375" customWidth="1"/>
    <col min="34" max="34" style="2941" width="11.7109375" customWidth="1"/>
    <col min="35" max="35" style="2941" width="8.57421875" hidden="1" customWidth="1"/>
    <col min="36" max="36" style="2941" width="4.7109375" customWidth="1"/>
    <col min="37" max="37" style="2941" width="115.7109375" customWidth="1"/>
    <col min="38" max="39" style="2612" width="10.57421875"/>
    <col min="40" max="40" style="2612" width="11.140625" customWidth="1"/>
    <col min="41" max="42" style="2612"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87">
        <f>INDEX(PT_DIFFERENTIATION_NUM_NTAR,MATCH(A2,PT_DIFFERENTIATION_NTAR_ID,0))</f>
      </c>
      <c r="T2" s="286" t="s">
        <v>122</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83"/>
      <c r="Q3" s="348"/>
      <c r="R3" s="349"/>
      <c r="S3" s="1487">
        <f>INDEX(PT_DIFFERENTIATION_NUM_TER,MATCH(B3,PT_DIFFERENTIATION_TER_ID,0))</f>
      </c>
      <c r="T3" s="298" t="s">
        <v>390</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391</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87">
        <f>INDEX(PT_DIFFERENTIATION_NUM_CS,MATCH(C4,PT_DIFFERENTIATION_CS_ID,0))</f>
      </c>
      <c r="T4" s="299" t="s">
        <v>476</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477</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80"/>
      <c r="R5" s="352"/>
      <c r="S5" s="1487">
        <f>$I5</f>
      </c>
      <c r="T5" s="273" t="s">
        <v>478</v>
      </c>
      <c r="U5" s="288"/>
      <c r="V5" s="2194"/>
      <c r="W5" s="2195"/>
      <c r="X5" s="2195"/>
      <c r="Y5" s="2195"/>
      <c r="Z5" s="2195"/>
      <c r="AA5" s="2195"/>
      <c r="AB5" s="2196"/>
      <c r="AC5" s="2197"/>
      <c r="AD5" s="2198"/>
      <c r="AE5" s="2198"/>
      <c r="AF5" s="2198"/>
      <c r="AG5" s="2198"/>
      <c r="AH5" s="2198"/>
      <c r="AI5" s="2198"/>
      <c r="AJ5" s="2199"/>
      <c r="AK5" s="1286" t="s">
        <v>479</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399</v>
      </c>
      <c r="P6" s="2111"/>
      <c r="Q6" s="2111">
        <v>1</v>
      </c>
      <c r="R6" s="353"/>
      <c r="S6" s="1487">
        <f>$J6</f>
      </c>
      <c r="T6" s="274" t="s">
        <v>400</v>
      </c>
      <c r="U6" s="288"/>
      <c r="V6" s="2095"/>
      <c r="W6" s="2096"/>
      <c r="X6" s="2096"/>
      <c r="Y6" s="2096"/>
      <c r="Z6" s="2096"/>
      <c r="AA6" s="2096"/>
      <c r="AB6" s="2097"/>
      <c r="AC6" s="2095"/>
      <c r="AD6" s="2096"/>
      <c r="AE6" s="2096"/>
      <c r="AF6" s="2096"/>
      <c r="AG6" s="2096"/>
      <c r="AH6" s="2096"/>
      <c r="AI6" s="2096"/>
      <c r="AJ6" s="2097"/>
      <c r="AK6" s="1337" t="s">
        <v>480</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87">
        <f>$K7</f>
      </c>
      <c r="T7" s="1467"/>
      <c r="U7" s="288"/>
      <c r="V7" s="757"/>
      <c r="W7" s="757"/>
      <c r="X7" s="1285"/>
      <c r="Y7" s="2112"/>
      <c r="Z7" s="1981" t="s">
        <v>61</v>
      </c>
      <c r="AA7" s="2112"/>
      <c r="AB7" s="1981" t="s">
        <v>61</v>
      </c>
      <c r="AC7" s="757"/>
      <c r="AD7" s="757"/>
      <c r="AE7" s="1285"/>
      <c r="AF7" s="2112"/>
      <c r="AG7" s="1981" t="s">
        <v>61</v>
      </c>
      <c r="AH7" s="2114"/>
      <c r="AI7" s="1981" t="s">
        <v>61</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86"/>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481</v>
      </c>
      <c r="U9" s="367"/>
      <c r="V9" s="367"/>
      <c r="W9" s="367"/>
      <c r="X9" s="367"/>
      <c r="Y9" s="367"/>
      <c r="Z9" s="367"/>
      <c r="AA9" s="367"/>
      <c r="AB9" s="367"/>
      <c r="AC9" s="367"/>
      <c r="AD9" s="367"/>
      <c r="AE9" s="367"/>
      <c r="AF9" s="367"/>
      <c r="AG9" s="367"/>
      <c r="AH9" s="367"/>
      <c r="AI9" s="367"/>
      <c r="AJ9" s="367"/>
      <c r="AK9" s="1286" t="s">
        <v>482</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80"/>
      <c r="R10" s="352"/>
      <c r="S10" s="1308"/>
      <c r="T10" s="364" t="s">
        <v>405</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483</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4" customFormat="1" customHeight="1" ht="14.25" hidden="1">
      <c r="A12" s="1373"/>
      <c r="B12" s="1373"/>
      <c r="C12" s="1344"/>
      <c r="D12" s="1344"/>
      <c r="E12" s="2108"/>
      <c r="F12" s="2107"/>
      <c r="G12" s="1344"/>
      <c r="H12" s="1344"/>
      <c r="I12" s="1344"/>
      <c r="J12" s="1344"/>
      <c r="K12" s="1344"/>
      <c r="L12" s="1488"/>
      <c r="M12" s="1351"/>
      <c r="N12" s="1351"/>
      <c r="P12" s="1346"/>
      <c r="Q12" s="1347"/>
      <c r="R12" s="1346"/>
      <c r="S12" s="1352"/>
      <c r="T12" s="1355" t="s">
        <v>168</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2"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169</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61</v>
      </c>
      <c r="AH15" s="2105"/>
      <c r="AI15" s="2104" t="s">
        <v>61</v>
      </c>
    </row>
    <row customHeight="1" ht="14.25" hidden="1">
      <c r="AC16" s="1390"/>
      <c r="AD16" s="1390"/>
      <c r="AE16" s="324" t="str">
        <f>AF15&amp;"-"&amp;AH15</f>
        <v>-</v>
      </c>
      <c r="AF16" s="2104"/>
      <c r="AG16" s="2104"/>
      <c r="AH16" s="2104"/>
      <c r="AI16" s="2104"/>
    </row>
    <row customHeight="1" ht="14.25" hidden="1">
      <c r="AI17" s="323"/>
    </row>
    <row s="3293" customFormat="1" customHeight="1" ht="22.5" hidden="1">
      <c r="L18" s="1477"/>
      <c r="M18" s="1392"/>
      <c r="N18" s="1392"/>
      <c r="O18" s="1397" t="s">
        <v>407</v>
      </c>
      <c r="P18" s="1392"/>
      <c r="Q18" s="1401"/>
      <c r="R18" s="1401"/>
      <c r="S18" s="735"/>
      <c r="Y18" s="1397"/>
      <c r="AA18" s="1397"/>
      <c r="AB18" s="1396"/>
      <c r="AF18" s="1397"/>
      <c r="AH18" s="1397"/>
      <c r="AI18" s="1396"/>
      <c r="AL18" s="517"/>
      <c r="AM18" s="517"/>
      <c r="AN18" s="517"/>
      <c r="AO18" s="517"/>
      <c r="AP18" s="517"/>
    </row>
    <row s="3293" customFormat="1" customHeight="1" ht="14.25" hidden="1">
      <c r="L19" s="1477"/>
      <c r="M19" s="1392"/>
      <c r="N19" s="1392"/>
      <c r="O19" s="1392"/>
      <c r="P19" s="1392"/>
      <c r="Q19" s="1401"/>
      <c r="R19" s="1401"/>
      <c r="S19" s="735"/>
      <c r="AB19" s="1396"/>
      <c r="AI19" s="1396"/>
      <c r="AL19" s="517"/>
      <c r="AM19" s="517"/>
      <c r="AN19" s="517"/>
      <c r="AO19" s="517"/>
      <c r="AP19" s="517"/>
    </row>
    <row s="3293" customFormat="1" customHeight="1" ht="12" hidden="1">
      <c r="L20" s="1477"/>
      <c r="M20" s="1392"/>
      <c r="N20" s="1392"/>
      <c r="O20" s="1394" t="s">
        <v>408</v>
      </c>
      <c r="P20" s="1392"/>
      <c r="Q20" s="1472"/>
      <c r="R20" s="1472"/>
      <c r="S20" s="735"/>
      <c r="T20" s="1168" t="s">
        <v>409</v>
      </c>
      <c r="Z20" s="172" t="s">
        <v>410</v>
      </c>
      <c r="AB20" s="172" t="s">
        <v>411</v>
      </c>
      <c r="AC20" s="1168" t="s">
        <v>409</v>
      </c>
      <c r="AG20" s="172" t="s">
        <v>412</v>
      </c>
      <c r="AI20" s="172" t="s">
        <v>411</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МУП г. Азова "Теплоэнерго"</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06"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Региональная служба по тарифам Ростовской области</v>
      </c>
      <c r="W27" s="2100"/>
      <c r="X27" s="2100"/>
      <c r="Y27" s="2100"/>
      <c r="Z27" s="2100"/>
      <c r="AA27" s="2100"/>
      <c r="AB27" s="322"/>
      <c r="AC27" s="2100" t="str">
        <f>IF(TITLE_NAME_OR_PR_CHANGE="",IF(TITLE_NAME_OR_PR="","",TITLE_NAME_OR_PR),TITLE_NAME_OR_PR_CHANGE)</f>
        <v>Региональная служба по тарифам Ростовской области</v>
      </c>
      <c r="AD27" s="2100"/>
      <c r="AE27" s="2100"/>
      <c r="AF27" s="2100"/>
      <c r="AG27" s="2100"/>
      <c r="AH27" s="2100"/>
      <c r="AI27" s="322"/>
      <c r="AJ27" s="322"/>
      <c r="AK27" s="268"/>
      <c r="AL27" s="368"/>
      <c r="AM27" s="368"/>
      <c r="AN27" s="368"/>
      <c r="AO27" s="368"/>
      <c r="AP27" s="368"/>
    </row>
    <row s="3306" customFormat="1" customHeight="1" ht="18.75">
      <c r="A28" s="1398"/>
      <c r="B28" s="1398"/>
      <c r="C28" s="1398"/>
      <c r="D28" s="1398"/>
      <c r="E28" s="1398"/>
      <c r="F28" s="1398"/>
      <c r="G28" s="1398"/>
      <c r="H28" s="1398"/>
      <c r="I28" s="1398"/>
      <c r="J28" s="1398"/>
      <c r="K28" s="1398"/>
      <c r="L28" s="1399"/>
      <c r="M28" s="1398"/>
      <c r="N28" s="1398"/>
      <c r="O28" s="1398"/>
      <c r="S28" s="2098" t="s">
        <v>413</v>
      </c>
      <c r="T28" s="2098"/>
      <c r="U28" s="1402"/>
      <c r="V28" s="2099" t="str">
        <f>IF(TITLE_DATE_PR_CHANGE="",IF(TITLE_DATE_PR="","",TITLE_DATE_PR),TITLE_DATE_PR_CHANGE)</f>
        <v>45245.61800925926</v>
      </c>
      <c r="W28" s="2099"/>
      <c r="X28" s="2099"/>
      <c r="Y28" s="2099"/>
      <c r="Z28" s="2099"/>
      <c r="AA28" s="2099"/>
      <c r="AB28" s="322"/>
      <c r="AC28" s="2099" t="str">
        <f>IF(TITLE_DATE_PR_CHANGE="",IF(TITLE_DATE_PR="","",TITLE_DATE_PR),TITLE_DATE_PR_CHANGE)</f>
        <v>45245.61800925926</v>
      </c>
      <c r="AD28" s="2099"/>
      <c r="AE28" s="2099"/>
      <c r="AF28" s="2099"/>
      <c r="AG28" s="2099"/>
      <c r="AH28" s="2099"/>
      <c r="AI28" s="322"/>
      <c r="AJ28" s="322"/>
      <c r="AK28" s="268"/>
      <c r="AL28" s="368"/>
      <c r="AM28" s="368"/>
      <c r="AN28" s="368"/>
      <c r="AO28" s="368"/>
      <c r="AP28" s="368"/>
    </row>
    <row s="3306" customFormat="1" customHeight="1" ht="18.75">
      <c r="A29" s="1398"/>
      <c r="B29" s="1398"/>
      <c r="C29" s="1398"/>
      <c r="D29" s="1398"/>
      <c r="E29" s="1398"/>
      <c r="F29" s="1398"/>
      <c r="G29" s="1398"/>
      <c r="H29" s="1398"/>
      <c r="I29" s="1398"/>
      <c r="J29" s="1398"/>
      <c r="K29" s="1398"/>
      <c r="L29" s="1399"/>
      <c r="M29" s="1398"/>
      <c r="N29" s="1398"/>
      <c r="O29" s="1398"/>
      <c r="S29" s="2098" t="s">
        <v>414</v>
      </c>
      <c r="T29" s="2098"/>
      <c r="U29" s="1402"/>
      <c r="V29" s="2100" t="str">
        <f>IF(TITLE_NUMBER_PR_CHANGE="",IF(TITLE_NUMBER_PR="","",TITLE_NUMBER_PR),TITLE_NUMBER_PR_CHANGE)</f>
        <v>550</v>
      </c>
      <c r="W29" s="2100"/>
      <c r="X29" s="2100"/>
      <c r="Y29" s="2100"/>
      <c r="Z29" s="2100"/>
      <c r="AA29" s="2100"/>
      <c r="AB29" s="322"/>
      <c r="AC29" s="2100" t="str">
        <f>IF(TITLE_NUMBER_PR_CHANGE="",IF(TITLE_NUMBER_PR="","",TITLE_NUMBER_PR),TITLE_NUMBER_PR_CHANGE)</f>
        <v>550</v>
      </c>
      <c r="AD29" s="2100"/>
      <c r="AE29" s="2100"/>
      <c r="AF29" s="2100"/>
      <c r="AG29" s="2100"/>
      <c r="AH29" s="2100"/>
      <c r="AI29" s="322"/>
      <c r="AJ29" s="322"/>
      <c r="AK29" s="268"/>
      <c r="AL29" s="368"/>
      <c r="AM29" s="368"/>
      <c r="AN29" s="368"/>
      <c r="AO29" s="368"/>
      <c r="AP29" s="368"/>
    </row>
    <row s="3306"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https://rst.donland.ru</v>
      </c>
      <c r="W30" s="2100"/>
      <c r="X30" s="2100"/>
      <c r="Y30" s="2100"/>
      <c r="Z30" s="2100"/>
      <c r="AA30" s="2100"/>
      <c r="AB30" s="322"/>
      <c r="AC30" s="2100" t="str">
        <f>IF(TITLE_IST_PUB_CHANGE="",IF(TITLE_IST_PUB="","",TITLE_IST_PUB),TITLE_IST_PUB_CHANGE)</f>
        <v>https://rst.donland.ru</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06" customFormat="1" customHeight="1" ht="18.75" hidden="1">
      <c r="A32" s="1398"/>
      <c r="B32" s="1398"/>
      <c r="C32" s="1398"/>
      <c r="D32" s="1398"/>
      <c r="E32" s="1398"/>
      <c r="F32" s="1398"/>
      <c r="G32" s="1398"/>
      <c r="H32" s="1398"/>
      <c r="I32" s="1398"/>
      <c r="J32" s="1398"/>
      <c r="K32" s="1398"/>
      <c r="L32" s="1399"/>
      <c r="M32" s="1398"/>
      <c r="N32" s="1398"/>
      <c r="O32" s="1398"/>
      <c r="S32" s="2098" t="s">
        <v>415</v>
      </c>
      <c r="T32" s="2098"/>
      <c r="U32" s="1402"/>
      <c r="V32" s="2099" t="str">
        <f>IF(TITLE_DATE_PR_CHANGE="",IF(TITLE_DATE_PR="","",TITLE_DATE_PR),TITLE_DATE_PR_CHANGE)</f>
        <v>45245.61800925926</v>
      </c>
      <c r="W32" s="2099"/>
      <c r="X32" s="2099"/>
      <c r="Y32" s="2099"/>
      <c r="Z32" s="2099"/>
      <c r="AA32" s="2099"/>
      <c r="AB32" s="322"/>
      <c r="AC32" s="2099" t="str">
        <f>IF(TITLE_DATE_PR_CHANGE="",IF(TITLE_DATE_PR="","",TITLE_DATE_PR),TITLE_DATE_PR_CHANGE)</f>
        <v>45245.61800925926</v>
      </c>
      <c r="AD32" s="2099"/>
      <c r="AE32" s="2099"/>
      <c r="AF32" s="2099"/>
      <c r="AG32" s="2099"/>
      <c r="AH32" s="2099"/>
      <c r="AI32" s="322"/>
      <c r="AJ32" s="322"/>
      <c r="AK32" s="268"/>
      <c r="AL32" s="368"/>
      <c r="AM32" s="368"/>
      <c r="AN32" s="368"/>
      <c r="AO32" s="368"/>
      <c r="AP32" s="368"/>
    </row>
    <row s="3306" customFormat="1" customHeight="1" ht="18.75" hidden="1">
      <c r="A33" s="1398"/>
      <c r="B33" s="1398"/>
      <c r="C33" s="1398"/>
      <c r="D33" s="1398"/>
      <c r="E33" s="1398"/>
      <c r="F33" s="1398"/>
      <c r="G33" s="1398"/>
      <c r="H33" s="1398"/>
      <c r="I33" s="1398"/>
      <c r="J33" s="1398"/>
      <c r="K33" s="1398"/>
      <c r="L33" s="1399"/>
      <c r="M33" s="1398"/>
      <c r="N33" s="1398"/>
      <c r="O33" s="1398"/>
      <c r="S33" s="2098" t="s">
        <v>416</v>
      </c>
      <c r="T33" s="2098"/>
      <c r="U33" s="1402"/>
      <c r="V33" s="2100" t="str">
        <f>IF(TITLE_NUMBER_PR_CHANGE="",IF(TITLE_NUMBER_PR="","",TITLE_NUMBER_PR),TITLE_NUMBER_PR_CHANGE)</f>
        <v>550</v>
      </c>
      <c r="W33" s="2100"/>
      <c r="X33" s="2100"/>
      <c r="Y33" s="2100"/>
      <c r="Z33" s="2100"/>
      <c r="AA33" s="2100"/>
      <c r="AB33" s="322"/>
      <c r="AC33" s="2100" t="str">
        <f>IF(TITLE_NUMBER_PR_CHANGE="",IF(TITLE_NUMBER_PR="","",TITLE_NUMBER_PR),TITLE_NUMBER_PR_CHANGE)</f>
        <v>550</v>
      </c>
      <c r="AD33" s="2100"/>
      <c r="AE33" s="2100"/>
      <c r="AF33" s="2100"/>
      <c r="AG33" s="2100"/>
      <c r="AH33" s="2100"/>
      <c r="AI33" s="322"/>
      <c r="AJ33" s="322"/>
      <c r="AK33" s="268"/>
      <c r="AL33" s="368"/>
      <c r="AM33" s="368"/>
      <c r="AN33" s="368"/>
      <c r="AO33" s="368"/>
      <c r="AP33" s="368"/>
    </row>
    <row s="3306" customFormat="1" customHeight="1" ht="0.75">
      <c r="A34" s="1398"/>
      <c r="B34" s="1398"/>
      <c r="C34" s="1398"/>
      <c r="D34" s="1398"/>
      <c r="E34" s="1398"/>
      <c r="F34" s="1398"/>
      <c r="G34" s="1398"/>
      <c r="H34" s="1398"/>
      <c r="I34" s="1398"/>
      <c r="J34" s="1398"/>
      <c r="K34" s="1398"/>
      <c r="L34" s="1399"/>
      <c r="M34" s="1398"/>
      <c r="N34" s="1398"/>
      <c r="O34" s="1398"/>
      <c r="S34" s="318"/>
      <c r="T34" s="318"/>
      <c r="U34" s="1484"/>
      <c r="V34" s="322"/>
      <c r="W34" s="322"/>
      <c r="X34" s="322"/>
      <c r="Y34" s="322"/>
      <c r="Z34" s="322"/>
      <c r="AA34" s="322"/>
      <c r="AB34" s="266" t="s">
        <v>417</v>
      </c>
      <c r="AC34" s="322"/>
      <c r="AD34" s="322"/>
      <c r="AE34" s="322"/>
      <c r="AF34" s="322"/>
      <c r="AG34" s="322"/>
      <c r="AH34" s="322"/>
      <c r="AI34" s="266" t="s">
        <v>417</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291</v>
      </c>
      <c r="T36" s="1971"/>
      <c r="U36" s="1971"/>
      <c r="V36" s="1971"/>
      <c r="W36" s="1971"/>
      <c r="X36" s="1971"/>
      <c r="Y36" s="1971"/>
      <c r="Z36" s="1971"/>
      <c r="AA36" s="1971"/>
      <c r="AB36" s="1971"/>
      <c r="AC36" s="1971"/>
      <c r="AD36" s="1971"/>
      <c r="AE36" s="1971"/>
      <c r="AF36" s="1971"/>
      <c r="AG36" s="1971"/>
      <c r="AH36" s="1971"/>
      <c r="AI36" s="1971"/>
      <c r="AJ36" s="1971"/>
      <c r="AK36" s="1971" t="s">
        <v>292</v>
      </c>
    </row>
    <row customHeight="1" ht="14.25">
      <c r="Q37" s="377"/>
      <c r="R37" s="377"/>
      <c r="S37" s="2125" t="s">
        <v>87</v>
      </c>
      <c r="T37" s="2062" t="s">
        <v>418</v>
      </c>
      <c r="U37" s="289"/>
      <c r="V37" s="2126" t="s">
        <v>419</v>
      </c>
      <c r="W37" s="2127"/>
      <c r="X37" s="2127"/>
      <c r="Y37" s="2127"/>
      <c r="Z37" s="2127"/>
      <c r="AA37" s="2128"/>
      <c r="AB37" s="2129" t="s">
        <v>420</v>
      </c>
      <c r="AC37" s="2126" t="s">
        <v>419</v>
      </c>
      <c r="AD37" s="2127"/>
      <c r="AE37" s="2127"/>
      <c r="AF37" s="2127"/>
      <c r="AG37" s="2127"/>
      <c r="AH37" s="2128"/>
      <c r="AI37" s="2129" t="s">
        <v>421</v>
      </c>
      <c r="AJ37" s="2132" t="s">
        <v>422</v>
      </c>
      <c r="AK37" s="1971"/>
    </row>
    <row customHeight="1" ht="33.75">
      <c r="Q38" s="377"/>
      <c r="R38" s="377"/>
      <c r="S38" s="2125"/>
      <c r="T38" s="2062"/>
      <c r="U38" s="1038"/>
      <c r="V38" s="1482" t="s">
        <v>484</v>
      </c>
      <c r="W38" s="2118" t="s">
        <v>425</v>
      </c>
      <c r="X38" s="2120"/>
      <c r="Y38" s="2118" t="s">
        <v>426</v>
      </c>
      <c r="Z38" s="2119"/>
      <c r="AA38" s="2120"/>
      <c r="AB38" s="2130"/>
      <c r="AC38" s="1482" t="s">
        <v>484</v>
      </c>
      <c r="AD38" s="2118" t="s">
        <v>425</v>
      </c>
      <c r="AE38" s="2120"/>
      <c r="AF38" s="2118" t="s">
        <v>426</v>
      </c>
      <c r="AG38" s="2119"/>
      <c r="AH38" s="2120"/>
      <c r="AI38" s="2130"/>
      <c r="AJ38" s="2133"/>
      <c r="AK38" s="1971"/>
    </row>
    <row customHeight="1" ht="33.75">
      <c r="A39" s="1400"/>
      <c r="B39" s="1400" t="s">
        <v>134</v>
      </c>
      <c r="C39" s="1400" t="s">
        <v>135</v>
      </c>
      <c r="D39" s="1400" t="s">
        <v>136</v>
      </c>
      <c r="E39" s="1394" t="s">
        <v>427</v>
      </c>
      <c r="F39" s="1394" t="s">
        <v>428</v>
      </c>
      <c r="G39" s="1394" t="s">
        <v>429</v>
      </c>
      <c r="H39" s="1394"/>
      <c r="I39" s="1394" t="s">
        <v>485</v>
      </c>
      <c r="J39" s="1394" t="s">
        <v>432</v>
      </c>
      <c r="K39" s="1394" t="s">
        <v>486</v>
      </c>
      <c r="L39" s="1394" t="s">
        <v>408</v>
      </c>
      <c r="Q39" s="377"/>
      <c r="R39" s="377"/>
      <c r="S39" s="2125"/>
      <c r="T39" s="2062"/>
      <c r="U39" s="290"/>
      <c r="V39" s="1482" t="s">
        <v>487</v>
      </c>
      <c r="W39" s="1237" t="s">
        <v>488</v>
      </c>
      <c r="X39" s="1237" t="s">
        <v>489</v>
      </c>
      <c r="Y39" s="1485" t="s">
        <v>436</v>
      </c>
      <c r="Z39" s="2121" t="s">
        <v>437</v>
      </c>
      <c r="AA39" s="2122"/>
      <c r="AB39" s="2131"/>
      <c r="AC39" s="1482" t="s">
        <v>487</v>
      </c>
      <c r="AD39" s="1237" t="s">
        <v>488</v>
      </c>
      <c r="AE39" s="1237" t="s">
        <v>489</v>
      </c>
      <c r="AF39" s="1485" t="s">
        <v>436</v>
      </c>
      <c r="AG39" s="2121" t="s">
        <v>437</v>
      </c>
      <c r="AH39" s="2122"/>
      <c r="AI39" s="2131"/>
      <c r="AJ39" s="2134"/>
      <c r="AK39" s="1971"/>
    </row>
    <row s="2611"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108</v>
      </c>
      <c r="T40" s="1281" t="s">
        <v>109</v>
      </c>
      <c r="U40" s="1263" t="str">
        <f>OFFSET(U40,0,-1)</f>
        <v>2</v>
      </c>
      <c r="V40" s="1481">
        <f>OFFSET(V40,0,-1)+1</f>
        <v>3</v>
      </c>
      <c r="W40" s="1481">
        <f>OFFSET(W40,0,-1)+1</f>
        <v>4</v>
      </c>
      <c r="X40" s="1481">
        <f>OFFSET(X40,0,-1)+1</f>
        <v>5</v>
      </c>
      <c r="Y40" s="1481">
        <f>OFFSET(Y40,0,-1)+1</f>
        <v>6</v>
      </c>
      <c r="Z40" s="2123">
        <f>OFFSET(Z40,0,-1)+1</f>
        <v>7</v>
      </c>
      <c r="AA40" s="2123"/>
      <c r="AB40" s="1481">
        <f>OFFSET(AB40,0,-2)+1</f>
        <v>8</v>
      </c>
      <c r="AC40" s="1481">
        <f>OFFSET(AC40,0,-1)+1</f>
        <v>9</v>
      </c>
      <c r="AD40" s="1481">
        <f>OFFSET(AD40,0,-1)+1</f>
        <v>10</v>
      </c>
      <c r="AE40" s="1481">
        <f>OFFSET(AE40,0,-1)+1</f>
        <v>11</v>
      </c>
      <c r="AF40" s="1481">
        <f>OFFSET(AF40,0,-1)+1</f>
        <v>12</v>
      </c>
      <c r="AG40" s="2123">
        <f>OFFSET(AG40,0,-1)+1</f>
        <v>13</v>
      </c>
      <c r="AH40" s="2123"/>
      <c r="AI40" s="1481">
        <f>OFFSET(AI40,0,-2)+1</f>
        <v>14</v>
      </c>
      <c r="AJ40" s="1263">
        <f>OFFSET(AJ40,0,-1)</f>
        <v>14</v>
      </c>
      <c r="AK40" s="1481">
        <f>OFFSET(AK40,0,-1)+1</f>
        <v>15</v>
      </c>
      <c r="AL40" s="517"/>
      <c r="AM40" s="517"/>
      <c r="AN40" s="517"/>
      <c r="AO40" s="517"/>
      <c r="AP40" s="517"/>
    </row>
    <row customHeight="1" ht="23.25">
      <c r="A41" s="1393" t="s">
        <v>227</v>
      </c>
      <c r="B41" s="1393"/>
      <c r="C41" s="1393"/>
      <c r="D41" s="1393"/>
      <c r="E41" s="2107">
        <v>1</v>
      </c>
      <c r="F41" s="1393"/>
      <c r="G41" s="1393"/>
      <c r="H41" s="1393"/>
      <c r="I41" s="1393"/>
      <c r="J41" s="1393"/>
      <c r="K41" s="1393"/>
      <c r="L41" s="1394"/>
      <c r="M41" s="1395"/>
      <c r="N41" s="1395"/>
      <c r="O41" s="1395"/>
      <c r="P41" s="357"/>
      <c r="Q41" s="356"/>
      <c r="R41" s="351"/>
      <c r="S41" s="1487">
        <f>INDEX(PT_DIFFERENTIATION_NUM_NTAR,MATCH(A41,PT_DIFFERENTIATION_NTAR_ID,0))</f>
        <v>0</v>
      </c>
      <c r="T41" s="286" t="s">
        <v>122</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227</v>
      </c>
      <c r="B42" s="1393" t="s">
        <v>228</v>
      </c>
      <c r="C42" s="1393"/>
      <c r="D42" s="1393"/>
      <c r="E42" s="2108"/>
      <c r="F42" s="2107">
        <v>1</v>
      </c>
      <c r="G42" s="1393"/>
      <c r="H42" s="1393"/>
      <c r="I42" s="1393"/>
      <c r="J42" s="1393"/>
      <c r="K42" s="1393"/>
      <c r="L42" s="1394"/>
      <c r="M42" s="1395"/>
      <c r="N42" s="1395"/>
      <c r="O42" s="1395"/>
      <c r="P42" s="1483"/>
      <c r="Q42" s="348"/>
      <c r="R42" s="349"/>
      <c r="S42" s="1487" t="str">
        <f>INDEX(PT_DIFFERENTIATION_NUM_TER,MATCH(B42,PT_DIFFERENTIATION_TER_ID,0))</f>
        <v>.</v>
      </c>
      <c r="T42" s="298" t="s">
        <v>390</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391</v>
      </c>
      <c r="AM42" s="506"/>
      <c r="AN42" s="506" t="str">
        <f>IF(T42="","",T42)</f>
        <v>Территория действия тарифа</v>
      </c>
      <c r="AO42" s="506"/>
      <c r="AP42" s="506"/>
    </row>
    <row customHeight="1" ht="23.25">
      <c r="A43" s="1393" t="s">
        <v>227</v>
      </c>
      <c r="B43" s="1393" t="s">
        <v>228</v>
      </c>
      <c r="C43" s="1393" t="s">
        <v>229</v>
      </c>
      <c r="D43" s="1393"/>
      <c r="E43" s="2108"/>
      <c r="F43" s="2108"/>
      <c r="G43" s="2107">
        <v>1</v>
      </c>
      <c r="H43" s="1393"/>
      <c r="I43" s="1393"/>
      <c r="J43" s="1393"/>
      <c r="K43" s="1393"/>
      <c r="L43" s="1394"/>
      <c r="M43" s="1395"/>
      <c r="N43" s="1395"/>
      <c r="O43" s="1395"/>
      <c r="P43" s="350"/>
      <c r="Q43" s="348"/>
      <c r="R43" s="349"/>
      <c r="S43" s="1487" t="str">
        <f>INDEX(PT_DIFFERENTIATION_NUM_CS,MATCH(C43,PT_DIFFERENTIATION_CS_ID,0))</f>
        <v>..</v>
      </c>
      <c r="T43" s="299" t="s">
        <v>476</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477</v>
      </c>
      <c r="AM43" s="506"/>
      <c r="AN43" s="506" t="str">
        <f>IF(T43="","",T43)</f>
        <v>Наименование централизованной системы холодного водоснабжения</v>
      </c>
      <c r="AO43" s="506"/>
      <c r="AP43" s="506"/>
    </row>
    <row customHeight="1" ht="23.25">
      <c r="A44" s="1393" t="s">
        <v>227</v>
      </c>
      <c r="B44" s="1393" t="s">
        <v>228</v>
      </c>
      <c r="C44" s="1393" t="s">
        <v>229</v>
      </c>
      <c r="D44" s="1393" t="s">
        <v>492</v>
      </c>
      <c r="E44" s="2108"/>
      <c r="F44" s="2108"/>
      <c r="G44" s="2108"/>
      <c r="H44" s="2108"/>
      <c r="I44" s="2109" t="str">
        <f>S43&amp;".1"</f>
        <v>...1</v>
      </c>
      <c r="J44" s="1393"/>
      <c r="K44" s="1393"/>
      <c r="L44" s="1394"/>
      <c r="P44" s="2111">
        <v>1</v>
      </c>
      <c r="Q44" s="1480"/>
      <c r="R44" s="352"/>
      <c r="S44" s="1487" t="str">
        <f>$I44</f>
        <v>...1</v>
      </c>
      <c r="T44" s="273" t="s">
        <v>478</v>
      </c>
      <c r="U44" s="288"/>
      <c r="V44" s="2194"/>
      <c r="W44" s="2195"/>
      <c r="X44" s="2195"/>
      <c r="Y44" s="2195"/>
      <c r="Z44" s="2195"/>
      <c r="AA44" s="2195"/>
      <c r="AB44" s="2196"/>
      <c r="AC44" s="2197"/>
      <c r="AD44" s="2198"/>
      <c r="AE44" s="2198"/>
      <c r="AF44" s="2198"/>
      <c r="AG44" s="2198"/>
      <c r="AH44" s="2198"/>
      <c r="AI44" s="2198"/>
      <c r="AJ44" s="2199"/>
      <c r="AK44" s="1286" t="s">
        <v>479</v>
      </c>
      <c r="AM44" s="506"/>
      <c r="AN44" s="506" t="str">
        <f>IF(T44="","",T44)</f>
        <v>Наименование признака дифференциации</v>
      </c>
      <c r="AO44" s="506"/>
      <c r="AP44" s="506"/>
    </row>
    <row customHeight="1" ht="23.25">
      <c r="A45" s="1393" t="s">
        <v>227</v>
      </c>
      <c r="B45" s="1393" t="s">
        <v>228</v>
      </c>
      <c r="C45" s="1393" t="s">
        <v>229</v>
      </c>
      <c r="D45" s="1393" t="s">
        <v>492</v>
      </c>
      <c r="E45" s="2108"/>
      <c r="F45" s="2108"/>
      <c r="G45" s="2108"/>
      <c r="H45" s="2108"/>
      <c r="I45" s="2110"/>
      <c r="J45" s="2109" t="str">
        <f>I44&amp;".1"</f>
        <v>...1.1</v>
      </c>
      <c r="K45" s="1393"/>
      <c r="L45" s="1394" t="s">
        <v>399</v>
      </c>
      <c r="P45" s="2111"/>
      <c r="Q45" s="2111">
        <v>1</v>
      </c>
      <c r="R45" s="353"/>
      <c r="S45" s="1487" t="str">
        <f>$J45</f>
        <v>...1.1</v>
      </c>
      <c r="T45" s="274" t="s">
        <v>400</v>
      </c>
      <c r="U45" s="288"/>
      <c r="V45" s="2095"/>
      <c r="W45" s="2096"/>
      <c r="X45" s="2096"/>
      <c r="Y45" s="2096"/>
      <c r="Z45" s="2096"/>
      <c r="AA45" s="2096"/>
      <c r="AB45" s="2097"/>
      <c r="AC45" s="2095"/>
      <c r="AD45" s="2096"/>
      <c r="AE45" s="2096"/>
      <c r="AF45" s="2096"/>
      <c r="AG45" s="2096"/>
      <c r="AH45" s="2096"/>
      <c r="AI45" s="2096"/>
      <c r="AJ45" s="2097"/>
      <c r="AK45" s="1337" t="s">
        <v>480</v>
      </c>
      <c r="AM45" s="506"/>
      <c r="AN45" s="506" t="str">
        <f>IF(T45="","",T45)</f>
        <v>Группа потребителей</v>
      </c>
      <c r="AO45" s="506"/>
      <c r="AP45" s="506"/>
    </row>
    <row customHeight="1" ht="23.25">
      <c r="A46" s="1393" t="s">
        <v>227</v>
      </c>
      <c r="B46" s="1393" t="s">
        <v>228</v>
      </c>
      <c r="C46" s="1393" t="s">
        <v>229</v>
      </c>
      <c r="D46" s="1393" t="s">
        <v>492</v>
      </c>
      <c r="E46" s="2108"/>
      <c r="F46" s="2108"/>
      <c r="G46" s="2108"/>
      <c r="H46" s="2108"/>
      <c r="I46" s="2110"/>
      <c r="J46" s="2110"/>
      <c r="K46" s="2109" t="str">
        <f>J45&amp;".1"</f>
        <v>...1.1.1</v>
      </c>
      <c r="L46" s="1394"/>
      <c r="P46" s="2111"/>
      <c r="Q46" s="2111"/>
      <c r="R46" s="353">
        <v>1</v>
      </c>
      <c r="S46" s="1487" t="str">
        <f>$K46</f>
        <v>...1.1.1</v>
      </c>
      <c r="T46" s="1467"/>
      <c r="U46" s="288"/>
      <c r="V46" s="757"/>
      <c r="W46" s="757"/>
      <c r="X46" s="1285"/>
      <c r="Y46" s="2112"/>
      <c r="Z46" s="1981" t="s">
        <v>61</v>
      </c>
      <c r="AA46" s="2112"/>
      <c r="AB46" s="1981" t="s">
        <v>61</v>
      </c>
      <c r="AC46" s="757"/>
      <c r="AD46" s="757"/>
      <c r="AE46" s="1285"/>
      <c r="AF46" s="2112"/>
      <c r="AG46" s="1981" t="s">
        <v>61</v>
      </c>
      <c r="AH46" s="2114"/>
      <c r="AI46" s="1981" t="s">
        <v>61</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227</v>
      </c>
      <c r="B47" s="1393" t="s">
        <v>228</v>
      </c>
      <c r="C47" s="1393" t="s">
        <v>229</v>
      </c>
      <c r="D47" s="1393" t="s">
        <v>492</v>
      </c>
      <c r="E47" s="2108"/>
      <c r="F47" s="2108"/>
      <c r="G47" s="2108"/>
      <c r="H47" s="2108"/>
      <c r="I47" s="2110"/>
      <c r="J47" s="2110"/>
      <c r="K47" s="2109"/>
      <c r="L47" s="1394"/>
      <c r="P47" s="2111"/>
      <c r="Q47" s="2111"/>
      <c r="R47" s="353"/>
      <c r="S47" s="1486"/>
      <c r="T47" s="288"/>
      <c r="U47" s="288"/>
      <c r="V47" s="320"/>
      <c r="W47" s="320"/>
      <c r="X47" s="324" t="str">
        <f>Y46&amp;"-"&amp;AA46</f>
        <v>-</v>
      </c>
      <c r="Y47" s="2113"/>
      <c r="Z47" s="1981"/>
      <c r="AA47" s="2113"/>
      <c r="AB47" s="1981"/>
      <c r="AC47" s="320"/>
      <c r="AD47" s="320"/>
      <c r="AE47" s="324" t="str">
        <f>AF46&amp;"-"&amp;AH46</f>
        <v>-</v>
      </c>
      <c r="AF47" s="2113"/>
      <c r="AG47" s="1981"/>
      <c r="AH47" s="2115"/>
      <c r="AI47" s="1981"/>
      <c r="AJ47" s="1469"/>
      <c r="AK47" s="2200"/>
      <c r="AM47" s="506"/>
      <c r="AN47" s="506" t="str">
        <f>IF(T47="","",T47)</f>
        <v/>
      </c>
      <c r="AO47" s="506"/>
      <c r="AP47" s="506"/>
    </row>
    <row customHeight="1" ht="21">
      <c r="A48" s="1393" t="s">
        <v>227</v>
      </c>
      <c r="B48" s="1393" t="s">
        <v>228</v>
      </c>
      <c r="C48" s="1393" t="s">
        <v>229</v>
      </c>
      <c r="D48" s="1393" t="s">
        <v>492</v>
      </c>
      <c r="E48" s="2108"/>
      <c r="F48" s="2108"/>
      <c r="G48" s="2108"/>
      <c r="H48" s="2108"/>
      <c r="I48" s="2110"/>
      <c r="J48" s="2109"/>
      <c r="K48" s="1393"/>
      <c r="L48" s="1394"/>
      <c r="P48" s="2111"/>
      <c r="Q48" s="2111"/>
      <c r="R48" s="352"/>
      <c r="S48" s="1308"/>
      <c r="T48" s="275" t="s">
        <v>481</v>
      </c>
      <c r="U48" s="367"/>
      <c r="V48" s="367"/>
      <c r="W48" s="367"/>
      <c r="X48" s="367"/>
      <c r="Y48" s="367"/>
      <c r="Z48" s="367"/>
      <c r="AA48" s="367"/>
      <c r="AB48" s="367"/>
      <c r="AC48" s="367"/>
      <c r="AD48" s="367"/>
      <c r="AE48" s="367"/>
      <c r="AF48" s="367"/>
      <c r="AG48" s="367"/>
      <c r="AH48" s="367"/>
      <c r="AI48" s="367"/>
      <c r="AJ48" s="367"/>
      <c r="AK48" s="1286" t="s">
        <v>482</v>
      </c>
      <c r="AM48" s="506"/>
      <c r="AN48" s="506" t="str">
        <f>IF(T48="","",T48)</f>
        <v>Добавить значение признака дифференциации</v>
      </c>
      <c r="AO48" s="506"/>
      <c r="AP48" s="506"/>
    </row>
    <row customHeight="1" ht="21">
      <c r="A49" s="1393" t="s">
        <v>227</v>
      </c>
      <c r="B49" s="1393" t="s">
        <v>228</v>
      </c>
      <c r="C49" s="1393" t="s">
        <v>229</v>
      </c>
      <c r="D49" s="1393" t="s">
        <v>492</v>
      </c>
      <c r="E49" s="2108"/>
      <c r="F49" s="2108"/>
      <c r="G49" s="2108"/>
      <c r="H49" s="2108"/>
      <c r="I49" s="2109"/>
      <c r="J49" s="1393"/>
      <c r="K49" s="1393"/>
      <c r="L49" s="1394"/>
      <c r="P49" s="2111"/>
      <c r="Q49" s="1480"/>
      <c r="R49" s="352"/>
      <c r="S49" s="1308"/>
      <c r="T49" s="364" t="s">
        <v>405</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227</v>
      </c>
      <c r="B50" s="1393" t="s">
        <v>228</v>
      </c>
      <c r="C50" s="1393" t="s">
        <v>229</v>
      </c>
      <c r="D50" s="1393" t="s">
        <v>492</v>
      </c>
      <c r="E50" s="2108"/>
      <c r="F50" s="2108"/>
      <c r="G50" s="2108"/>
      <c r="H50" s="2107"/>
      <c r="I50" s="1393"/>
      <c r="J50" s="1393"/>
      <c r="K50" s="1393"/>
      <c r="L50" s="1394"/>
      <c r="M50" s="1395"/>
      <c r="N50" s="1395"/>
      <c r="O50" s="543"/>
      <c r="P50" s="356"/>
      <c r="Q50" s="376"/>
      <c r="R50" s="351"/>
      <c r="S50" s="1308"/>
      <c r="T50" s="372" t="s">
        <v>483</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4" customFormat="1" customHeight="1" ht="0">
      <c r="A51" s="1373" t="s">
        <v>227</v>
      </c>
      <c r="B51" s="1373" t="s">
        <v>228</v>
      </c>
      <c r="C51" s="1344"/>
      <c r="D51" s="1344"/>
      <c r="E51" s="2108"/>
      <c r="F51" s="2107"/>
      <c r="G51" s="1344"/>
      <c r="H51" s="1344"/>
      <c r="I51" s="1344"/>
      <c r="J51" s="1344"/>
      <c r="K51" s="1344"/>
      <c r="L51" s="1488"/>
      <c r="M51" s="1351"/>
      <c r="N51" s="1351"/>
      <c r="P51" s="1346"/>
      <c r="Q51" s="1347"/>
      <c r="R51" s="1346"/>
      <c r="S51" s="1352"/>
      <c r="T51" s="1355" t="s">
        <v>168</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2" customFormat="1" customHeight="1" ht="0">
      <c r="A52" s="1373" t="s">
        <v>227</v>
      </c>
      <c r="B52" s="1373"/>
      <c r="C52" s="1373"/>
      <c r="D52" s="1373"/>
      <c r="E52" s="2107"/>
      <c r="F52" s="1373"/>
      <c r="G52" s="1373"/>
      <c r="H52" s="1373"/>
      <c r="I52" s="1373"/>
      <c r="J52" s="1373"/>
      <c r="K52" s="1373"/>
      <c r="L52" s="1376"/>
      <c r="M52" s="1351"/>
      <c r="N52" s="1351"/>
      <c r="O52" s="524"/>
      <c r="P52" s="385"/>
      <c r="Q52" s="1374"/>
      <c r="R52" s="385"/>
      <c r="S52" s="1352"/>
      <c r="T52" s="1355" t="s">
        <v>169</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4" customFormat="1" customHeight="1" ht="0">
      <c r="A53" s="1344"/>
      <c r="B53" s="1344"/>
      <c r="C53" s="1344"/>
      <c r="D53" s="1344"/>
      <c r="E53" s="1373"/>
      <c r="F53" s="1344"/>
      <c r="G53" s="1344"/>
      <c r="H53" s="1344"/>
      <c r="I53" s="1344"/>
      <c r="J53" s="1344"/>
      <c r="K53" s="1344"/>
      <c r="L53" s="1488"/>
      <c r="M53" s="1351"/>
      <c r="N53" s="1351"/>
      <c r="P53" s="1346"/>
      <c r="Q53" s="1347"/>
      <c r="R53" s="1346"/>
      <c r="S53" s="1352"/>
      <c r="T53" s="1355" t="s">
        <v>170</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C2637E-8883-5238-7D57-BB64B9EDE5E8}"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93" width="10.57421875" hidden="1"/>
    <col min="2" max="2" style="3293" width="11.00390625" hidden="1" customWidth="1"/>
    <col min="3" max="3" style="3293" width="10.57421875" hidden="1"/>
    <col min="4" max="4" style="3293" width="11.8515625" hidden="1" customWidth="1"/>
    <col min="5" max="5" style="3293" width="10.00390625" hidden="1" customWidth="1"/>
    <col min="6" max="6" style="3293" width="8.7109375" hidden="1" customWidth="1"/>
    <col min="7" max="7" style="3293" width="7.57421875" hidden="1" customWidth="1"/>
    <col min="8" max="8" style="3293" width="11.421875" hidden="1" customWidth="1"/>
    <col min="9" max="9" style="3293" width="14.140625" hidden="1" customWidth="1"/>
    <col min="10" max="10" style="3293" width="9.8515625" hidden="1" customWidth="1"/>
    <col min="11" max="11" style="3293" width="14.7109375" hidden="1" customWidth="1"/>
    <col min="12" max="12" style="3980" width="19.140625" hidden="1" customWidth="1"/>
    <col min="13" max="14" style="3295" width="12.28125" hidden="1" customWidth="1"/>
    <col min="15" max="15" style="3295" width="23.421875" hidden="1" customWidth="1"/>
    <col min="16" max="16" style="3985" width="3.7109375" customWidth="1"/>
    <col min="17" max="18" style="3372" width="3.7109375" customWidth="1"/>
    <col min="19" max="19" style="3373" width="12.7109375" customWidth="1"/>
    <col min="20" max="20" style="2941" width="35.7109375" customWidth="1"/>
    <col min="21" max="21" style="2941" width="0.140625" customWidth="1"/>
    <col min="22" max="24" style="2941" width="24.7109375" hidden="1" customWidth="1"/>
    <col min="25" max="25" style="2941" width="11.7109375" hidden="1" customWidth="1"/>
    <col min="26" max="26" style="2941" width="3.7109375" hidden="1" customWidth="1"/>
    <col min="27" max="27" style="2941" width="11.7109375" hidden="1" customWidth="1"/>
    <col min="28" max="28" style="2941" width="8.57421875" hidden="1" customWidth="1"/>
    <col min="29" max="31" style="2941" width="24.7109375" customWidth="1"/>
    <col min="32" max="32" style="2941" width="11.7109375" customWidth="1"/>
    <col min="33" max="33" style="2941" width="3.7109375" customWidth="1"/>
    <col min="34" max="34" style="2941" width="11.7109375" customWidth="1"/>
    <col min="35" max="35" style="2941" width="8.57421875" hidden="1" customWidth="1"/>
    <col min="36" max="36" style="2941" width="4.7109375" customWidth="1"/>
    <col min="37" max="37" style="2941" width="115.7109375" customWidth="1"/>
    <col min="38" max="39" style="2612" width="10.57421875"/>
    <col min="40" max="40" style="2612" width="11.140625" customWidth="1"/>
    <col min="41" max="42" style="2612"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87">
        <f>INDEX(PT_DIFFERENTIATION_NUM_NTAR,MATCH(A2,PT_DIFFERENTIATION_NTAR_ID,0))</f>
      </c>
      <c r="T2" s="286" t="s">
        <v>122</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83"/>
      <c r="Q3" s="348"/>
      <c r="R3" s="349"/>
      <c r="S3" s="1487">
        <f>INDEX(PT_DIFFERENTIATION_NUM_TER,MATCH(B3,PT_DIFFERENTIATION_TER_ID,0))</f>
      </c>
      <c r="T3" s="298" t="s">
        <v>390</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391</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87">
        <f>INDEX(PT_DIFFERENTIATION_NUM_CS,MATCH(C4,PT_DIFFERENTIATION_CS_ID,0))</f>
      </c>
      <c r="T4" s="299" t="s">
        <v>476</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477</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80"/>
      <c r="R5" s="352"/>
      <c r="S5" s="1487">
        <f>$I5</f>
      </c>
      <c r="T5" s="273" t="s">
        <v>478</v>
      </c>
      <c r="U5" s="288"/>
      <c r="V5" s="2194"/>
      <c r="W5" s="2195"/>
      <c r="X5" s="2195"/>
      <c r="Y5" s="2195"/>
      <c r="Z5" s="2195"/>
      <c r="AA5" s="2195"/>
      <c r="AB5" s="2196"/>
      <c r="AC5" s="2197"/>
      <c r="AD5" s="2198"/>
      <c r="AE5" s="2198"/>
      <c r="AF5" s="2198"/>
      <c r="AG5" s="2198"/>
      <c r="AH5" s="2198"/>
      <c r="AI5" s="2198"/>
      <c r="AJ5" s="2199"/>
      <c r="AK5" s="1286" t="s">
        <v>479</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399</v>
      </c>
      <c r="P6" s="2111"/>
      <c r="Q6" s="2111">
        <v>1</v>
      </c>
      <c r="R6" s="353"/>
      <c r="S6" s="1487">
        <f>$J6</f>
      </c>
      <c r="T6" s="274" t="s">
        <v>400</v>
      </c>
      <c r="U6" s="288"/>
      <c r="V6" s="2095"/>
      <c r="W6" s="2096"/>
      <c r="X6" s="2096"/>
      <c r="Y6" s="2096"/>
      <c r="Z6" s="2096"/>
      <c r="AA6" s="2096"/>
      <c r="AB6" s="2097"/>
      <c r="AC6" s="2095"/>
      <c r="AD6" s="2096"/>
      <c r="AE6" s="2096"/>
      <c r="AF6" s="2096"/>
      <c r="AG6" s="2096"/>
      <c r="AH6" s="2096"/>
      <c r="AI6" s="2096"/>
      <c r="AJ6" s="2097"/>
      <c r="AK6" s="1337" t="s">
        <v>480</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87">
        <f>$K7</f>
      </c>
      <c r="T7" s="1467"/>
      <c r="U7" s="288"/>
      <c r="V7" s="757"/>
      <c r="W7" s="757"/>
      <c r="X7" s="1285"/>
      <c r="Y7" s="2112"/>
      <c r="Z7" s="1981" t="s">
        <v>61</v>
      </c>
      <c r="AA7" s="2112"/>
      <c r="AB7" s="1981" t="s">
        <v>61</v>
      </c>
      <c r="AC7" s="757"/>
      <c r="AD7" s="757"/>
      <c r="AE7" s="1285"/>
      <c r="AF7" s="2112"/>
      <c r="AG7" s="1981" t="s">
        <v>61</v>
      </c>
      <c r="AH7" s="2114"/>
      <c r="AI7" s="1981" t="s">
        <v>61</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86"/>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481</v>
      </c>
      <c r="U9" s="367"/>
      <c r="V9" s="367"/>
      <c r="W9" s="367"/>
      <c r="X9" s="367"/>
      <c r="Y9" s="367"/>
      <c r="Z9" s="367"/>
      <c r="AA9" s="367"/>
      <c r="AB9" s="367"/>
      <c r="AC9" s="367"/>
      <c r="AD9" s="367"/>
      <c r="AE9" s="367"/>
      <c r="AF9" s="367"/>
      <c r="AG9" s="367"/>
      <c r="AH9" s="367"/>
      <c r="AI9" s="367"/>
      <c r="AJ9" s="367"/>
      <c r="AK9" s="1286" t="s">
        <v>482</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80"/>
      <c r="R10" s="352"/>
      <c r="S10" s="1308"/>
      <c r="T10" s="364" t="s">
        <v>405</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483</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4" customFormat="1" customHeight="1" ht="14.25" hidden="1">
      <c r="A12" s="1373"/>
      <c r="B12" s="1373"/>
      <c r="C12" s="1344"/>
      <c r="D12" s="1344"/>
      <c r="E12" s="2108"/>
      <c r="F12" s="2107"/>
      <c r="G12" s="1344"/>
      <c r="H12" s="1344"/>
      <c r="I12" s="1344"/>
      <c r="J12" s="1344"/>
      <c r="K12" s="1344"/>
      <c r="L12" s="1488"/>
      <c r="M12" s="1351"/>
      <c r="N12" s="1351"/>
      <c r="P12" s="1346"/>
      <c r="Q12" s="1347"/>
      <c r="R12" s="1346"/>
      <c r="S12" s="1352"/>
      <c r="T12" s="1355" t="s">
        <v>168</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2"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169</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61</v>
      </c>
      <c r="AH15" s="2105"/>
      <c r="AI15" s="2104" t="s">
        <v>61</v>
      </c>
    </row>
    <row customHeight="1" ht="14.25" hidden="1">
      <c r="AC16" s="1390"/>
      <c r="AD16" s="1390"/>
      <c r="AE16" s="324" t="str">
        <f>AF15&amp;"-"&amp;AH15</f>
        <v>-</v>
      </c>
      <c r="AF16" s="2104"/>
      <c r="AG16" s="2104"/>
      <c r="AH16" s="2104"/>
      <c r="AI16" s="2104"/>
    </row>
    <row customHeight="1" ht="14.25" hidden="1">
      <c r="AI17" s="323"/>
    </row>
    <row s="3293" customFormat="1" customHeight="1" ht="22.5" hidden="1">
      <c r="L18" s="1477"/>
      <c r="M18" s="1392"/>
      <c r="N18" s="1392"/>
      <c r="O18" s="1397" t="s">
        <v>407</v>
      </c>
      <c r="P18" s="1392"/>
      <c r="Q18" s="1401"/>
      <c r="R18" s="1401"/>
      <c r="S18" s="735"/>
      <c r="Y18" s="1397"/>
      <c r="AA18" s="1397"/>
      <c r="AB18" s="1396"/>
      <c r="AF18" s="1397"/>
      <c r="AH18" s="1397"/>
      <c r="AI18" s="1396"/>
      <c r="AL18" s="517"/>
      <c r="AM18" s="517"/>
      <c r="AN18" s="517"/>
      <c r="AO18" s="517"/>
      <c r="AP18" s="517"/>
    </row>
    <row s="3293" customFormat="1" customHeight="1" ht="14.25" hidden="1">
      <c r="L19" s="1477"/>
      <c r="M19" s="1392"/>
      <c r="N19" s="1392"/>
      <c r="O19" s="1392"/>
      <c r="P19" s="1392"/>
      <c r="Q19" s="1401"/>
      <c r="R19" s="1401"/>
      <c r="S19" s="735"/>
      <c r="AB19" s="1396"/>
      <c r="AI19" s="1396"/>
      <c r="AL19" s="517"/>
      <c r="AM19" s="517"/>
      <c r="AN19" s="517"/>
      <c r="AO19" s="517"/>
      <c r="AP19" s="517"/>
    </row>
    <row s="3293" customFormat="1" customHeight="1" ht="12" hidden="1">
      <c r="L20" s="1477"/>
      <c r="M20" s="1392"/>
      <c r="N20" s="1392"/>
      <c r="O20" s="1394" t="s">
        <v>408</v>
      </c>
      <c r="P20" s="1392"/>
      <c r="Q20" s="1472"/>
      <c r="R20" s="1472"/>
      <c r="S20" s="735"/>
      <c r="T20" s="1168" t="s">
        <v>409</v>
      </c>
      <c r="Z20" s="172" t="s">
        <v>410</v>
      </c>
      <c r="AB20" s="172" t="s">
        <v>411</v>
      </c>
      <c r="AC20" s="1168" t="s">
        <v>409</v>
      </c>
      <c r="AG20" s="172" t="s">
        <v>412</v>
      </c>
      <c r="AI20" s="172" t="s">
        <v>411</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МУП г. Азова "Теплоэнерго"</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06"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Региональная служба по тарифам Ростовской области</v>
      </c>
      <c r="W27" s="2100"/>
      <c r="X27" s="2100"/>
      <c r="Y27" s="2100"/>
      <c r="Z27" s="2100"/>
      <c r="AA27" s="2100"/>
      <c r="AB27" s="322"/>
      <c r="AC27" s="2100" t="str">
        <f>IF(TITLE_NAME_OR_PR_CHANGE="",IF(TITLE_NAME_OR_PR="","",TITLE_NAME_OR_PR),TITLE_NAME_OR_PR_CHANGE)</f>
        <v>Региональная служба по тарифам Ростовской области</v>
      </c>
      <c r="AD27" s="2100"/>
      <c r="AE27" s="2100"/>
      <c r="AF27" s="2100"/>
      <c r="AG27" s="2100"/>
      <c r="AH27" s="2100"/>
      <c r="AI27" s="322"/>
      <c r="AJ27" s="322"/>
      <c r="AK27" s="268"/>
      <c r="AL27" s="368"/>
      <c r="AM27" s="368"/>
      <c r="AN27" s="368"/>
      <c r="AO27" s="368"/>
      <c r="AP27" s="368"/>
    </row>
    <row s="3306" customFormat="1" customHeight="1" ht="18.75">
      <c r="A28" s="1398"/>
      <c r="B28" s="1398"/>
      <c r="C28" s="1398"/>
      <c r="D28" s="1398"/>
      <c r="E28" s="1398"/>
      <c r="F28" s="1398"/>
      <c r="G28" s="1398"/>
      <c r="H28" s="1398"/>
      <c r="I28" s="1398"/>
      <c r="J28" s="1398"/>
      <c r="K28" s="1398"/>
      <c r="L28" s="1399"/>
      <c r="M28" s="1398"/>
      <c r="N28" s="1398"/>
      <c r="O28" s="1398"/>
      <c r="S28" s="2098" t="s">
        <v>413</v>
      </c>
      <c r="T28" s="2098"/>
      <c r="U28" s="1402"/>
      <c r="V28" s="2099" t="str">
        <f>IF(TITLE_DATE_PR_CHANGE="",IF(TITLE_DATE_PR="","",TITLE_DATE_PR),TITLE_DATE_PR_CHANGE)</f>
        <v>45245.61800925926</v>
      </c>
      <c r="W28" s="2099"/>
      <c r="X28" s="2099"/>
      <c r="Y28" s="2099"/>
      <c r="Z28" s="2099"/>
      <c r="AA28" s="2099"/>
      <c r="AB28" s="322"/>
      <c r="AC28" s="2099" t="str">
        <f>IF(TITLE_DATE_PR_CHANGE="",IF(TITLE_DATE_PR="","",TITLE_DATE_PR),TITLE_DATE_PR_CHANGE)</f>
        <v>45245.61800925926</v>
      </c>
      <c r="AD28" s="2099"/>
      <c r="AE28" s="2099"/>
      <c r="AF28" s="2099"/>
      <c r="AG28" s="2099"/>
      <c r="AH28" s="2099"/>
      <c r="AI28" s="322"/>
      <c r="AJ28" s="322"/>
      <c r="AK28" s="268"/>
      <c r="AL28" s="368"/>
      <c r="AM28" s="368"/>
      <c r="AN28" s="368"/>
      <c r="AO28" s="368"/>
      <c r="AP28" s="368"/>
    </row>
    <row s="3306" customFormat="1" customHeight="1" ht="18.75">
      <c r="A29" s="1398"/>
      <c r="B29" s="1398"/>
      <c r="C29" s="1398"/>
      <c r="D29" s="1398"/>
      <c r="E29" s="1398"/>
      <c r="F29" s="1398"/>
      <c r="G29" s="1398"/>
      <c r="H29" s="1398"/>
      <c r="I29" s="1398"/>
      <c r="J29" s="1398"/>
      <c r="K29" s="1398"/>
      <c r="L29" s="1399"/>
      <c r="M29" s="1398"/>
      <c r="N29" s="1398"/>
      <c r="O29" s="1398"/>
      <c r="S29" s="2098" t="s">
        <v>414</v>
      </c>
      <c r="T29" s="2098"/>
      <c r="U29" s="1402"/>
      <c r="V29" s="2100" t="str">
        <f>IF(TITLE_NUMBER_PR_CHANGE="",IF(TITLE_NUMBER_PR="","",TITLE_NUMBER_PR),TITLE_NUMBER_PR_CHANGE)</f>
        <v>550</v>
      </c>
      <c r="W29" s="2100"/>
      <c r="X29" s="2100"/>
      <c r="Y29" s="2100"/>
      <c r="Z29" s="2100"/>
      <c r="AA29" s="2100"/>
      <c r="AB29" s="322"/>
      <c r="AC29" s="2100" t="str">
        <f>IF(TITLE_NUMBER_PR_CHANGE="",IF(TITLE_NUMBER_PR="","",TITLE_NUMBER_PR),TITLE_NUMBER_PR_CHANGE)</f>
        <v>550</v>
      </c>
      <c r="AD29" s="2100"/>
      <c r="AE29" s="2100"/>
      <c r="AF29" s="2100"/>
      <c r="AG29" s="2100"/>
      <c r="AH29" s="2100"/>
      <c r="AI29" s="322"/>
      <c r="AJ29" s="322"/>
      <c r="AK29" s="268"/>
      <c r="AL29" s="368"/>
      <c r="AM29" s="368"/>
      <c r="AN29" s="368"/>
      <c r="AO29" s="368"/>
      <c r="AP29" s="368"/>
    </row>
    <row s="3306"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https://rst.donland.ru</v>
      </c>
      <c r="W30" s="2100"/>
      <c r="X30" s="2100"/>
      <c r="Y30" s="2100"/>
      <c r="Z30" s="2100"/>
      <c r="AA30" s="2100"/>
      <c r="AB30" s="322"/>
      <c r="AC30" s="2100" t="str">
        <f>IF(TITLE_IST_PUB_CHANGE="",IF(TITLE_IST_PUB="","",TITLE_IST_PUB),TITLE_IST_PUB_CHANGE)</f>
        <v>https://rst.donland.ru</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06" customFormat="1" customHeight="1" ht="18.75" hidden="1">
      <c r="A32" s="1398"/>
      <c r="B32" s="1398"/>
      <c r="C32" s="1398"/>
      <c r="D32" s="1398"/>
      <c r="E32" s="1398"/>
      <c r="F32" s="1398"/>
      <c r="G32" s="1398"/>
      <c r="H32" s="1398"/>
      <c r="I32" s="1398"/>
      <c r="J32" s="1398"/>
      <c r="K32" s="1398"/>
      <c r="L32" s="1399"/>
      <c r="M32" s="1398"/>
      <c r="N32" s="1398"/>
      <c r="O32" s="1398"/>
      <c r="S32" s="2098" t="s">
        <v>415</v>
      </c>
      <c r="T32" s="2098"/>
      <c r="U32" s="1402"/>
      <c r="V32" s="2099" t="str">
        <f>IF(TITLE_DATE_PR_CHANGE="",IF(TITLE_DATE_PR="","",TITLE_DATE_PR),TITLE_DATE_PR_CHANGE)</f>
        <v>45245.61800925926</v>
      </c>
      <c r="W32" s="2099"/>
      <c r="X32" s="2099"/>
      <c r="Y32" s="2099"/>
      <c r="Z32" s="2099"/>
      <c r="AA32" s="2099"/>
      <c r="AB32" s="322"/>
      <c r="AC32" s="2099" t="str">
        <f>IF(TITLE_DATE_PR_CHANGE="",IF(TITLE_DATE_PR="","",TITLE_DATE_PR),TITLE_DATE_PR_CHANGE)</f>
        <v>45245.61800925926</v>
      </c>
      <c r="AD32" s="2099"/>
      <c r="AE32" s="2099"/>
      <c r="AF32" s="2099"/>
      <c r="AG32" s="2099"/>
      <c r="AH32" s="2099"/>
      <c r="AI32" s="322"/>
      <c r="AJ32" s="322"/>
      <c r="AK32" s="268"/>
      <c r="AL32" s="368"/>
      <c r="AM32" s="368"/>
      <c r="AN32" s="368"/>
      <c r="AO32" s="368"/>
      <c r="AP32" s="368"/>
    </row>
    <row s="3306" customFormat="1" customHeight="1" ht="18.75" hidden="1">
      <c r="A33" s="1398"/>
      <c r="B33" s="1398"/>
      <c r="C33" s="1398"/>
      <c r="D33" s="1398"/>
      <c r="E33" s="1398"/>
      <c r="F33" s="1398"/>
      <c r="G33" s="1398"/>
      <c r="H33" s="1398"/>
      <c r="I33" s="1398"/>
      <c r="J33" s="1398"/>
      <c r="K33" s="1398"/>
      <c r="L33" s="1399"/>
      <c r="M33" s="1398"/>
      <c r="N33" s="1398"/>
      <c r="O33" s="1398"/>
      <c r="S33" s="2098" t="s">
        <v>416</v>
      </c>
      <c r="T33" s="2098"/>
      <c r="U33" s="1402"/>
      <c r="V33" s="2100" t="str">
        <f>IF(TITLE_NUMBER_PR_CHANGE="",IF(TITLE_NUMBER_PR="","",TITLE_NUMBER_PR),TITLE_NUMBER_PR_CHANGE)</f>
        <v>550</v>
      </c>
      <c r="W33" s="2100"/>
      <c r="X33" s="2100"/>
      <c r="Y33" s="2100"/>
      <c r="Z33" s="2100"/>
      <c r="AA33" s="2100"/>
      <c r="AB33" s="322"/>
      <c r="AC33" s="2100" t="str">
        <f>IF(TITLE_NUMBER_PR_CHANGE="",IF(TITLE_NUMBER_PR="","",TITLE_NUMBER_PR),TITLE_NUMBER_PR_CHANGE)</f>
        <v>550</v>
      </c>
      <c r="AD33" s="2100"/>
      <c r="AE33" s="2100"/>
      <c r="AF33" s="2100"/>
      <c r="AG33" s="2100"/>
      <c r="AH33" s="2100"/>
      <c r="AI33" s="322"/>
      <c r="AJ33" s="322"/>
      <c r="AK33" s="268"/>
      <c r="AL33" s="368"/>
      <c r="AM33" s="368"/>
      <c r="AN33" s="368"/>
      <c r="AO33" s="368"/>
      <c r="AP33" s="368"/>
    </row>
    <row s="3306" customFormat="1" customHeight="1" ht="0.75">
      <c r="A34" s="1398"/>
      <c r="B34" s="1398"/>
      <c r="C34" s="1398"/>
      <c r="D34" s="1398"/>
      <c r="E34" s="1398"/>
      <c r="F34" s="1398"/>
      <c r="G34" s="1398"/>
      <c r="H34" s="1398"/>
      <c r="I34" s="1398"/>
      <c r="J34" s="1398"/>
      <c r="K34" s="1398"/>
      <c r="L34" s="1399"/>
      <c r="M34" s="1398"/>
      <c r="N34" s="1398"/>
      <c r="O34" s="1398"/>
      <c r="S34" s="318"/>
      <c r="T34" s="318"/>
      <c r="U34" s="1484"/>
      <c r="V34" s="322"/>
      <c r="W34" s="322"/>
      <c r="X34" s="322"/>
      <c r="Y34" s="322"/>
      <c r="Z34" s="322"/>
      <c r="AA34" s="322"/>
      <c r="AB34" s="266" t="s">
        <v>417</v>
      </c>
      <c r="AC34" s="322"/>
      <c r="AD34" s="322"/>
      <c r="AE34" s="322"/>
      <c r="AF34" s="322"/>
      <c r="AG34" s="322"/>
      <c r="AH34" s="322"/>
      <c r="AI34" s="266" t="s">
        <v>417</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291</v>
      </c>
      <c r="T36" s="1971"/>
      <c r="U36" s="1971"/>
      <c r="V36" s="1971"/>
      <c r="W36" s="1971"/>
      <c r="X36" s="1971"/>
      <c r="Y36" s="1971"/>
      <c r="Z36" s="1971"/>
      <c r="AA36" s="1971"/>
      <c r="AB36" s="1971"/>
      <c r="AC36" s="1971"/>
      <c r="AD36" s="1971"/>
      <c r="AE36" s="1971"/>
      <c r="AF36" s="1971"/>
      <c r="AG36" s="1971"/>
      <c r="AH36" s="1971"/>
      <c r="AI36" s="1971"/>
      <c r="AJ36" s="1971"/>
      <c r="AK36" s="1971" t="s">
        <v>292</v>
      </c>
    </row>
    <row customHeight="1" ht="14.25">
      <c r="Q37" s="377"/>
      <c r="R37" s="377"/>
      <c r="S37" s="2125" t="s">
        <v>87</v>
      </c>
      <c r="T37" s="2062" t="s">
        <v>418</v>
      </c>
      <c r="U37" s="289"/>
      <c r="V37" s="2126" t="s">
        <v>419</v>
      </c>
      <c r="W37" s="2127"/>
      <c r="X37" s="2127"/>
      <c r="Y37" s="2127"/>
      <c r="Z37" s="2127"/>
      <c r="AA37" s="2128"/>
      <c r="AB37" s="2129" t="s">
        <v>420</v>
      </c>
      <c r="AC37" s="2126" t="s">
        <v>419</v>
      </c>
      <c r="AD37" s="2127"/>
      <c r="AE37" s="2127"/>
      <c r="AF37" s="2127"/>
      <c r="AG37" s="2127"/>
      <c r="AH37" s="2128"/>
      <c r="AI37" s="2129" t="s">
        <v>421</v>
      </c>
      <c r="AJ37" s="2132" t="s">
        <v>422</v>
      </c>
      <c r="AK37" s="1971"/>
    </row>
    <row customHeight="1" ht="33.75">
      <c r="Q38" s="377"/>
      <c r="R38" s="377"/>
      <c r="S38" s="2125"/>
      <c r="T38" s="2062"/>
      <c r="U38" s="1038"/>
      <c r="V38" s="1482" t="s">
        <v>484</v>
      </c>
      <c r="W38" s="2118" t="s">
        <v>425</v>
      </c>
      <c r="X38" s="2120"/>
      <c r="Y38" s="2118" t="s">
        <v>426</v>
      </c>
      <c r="Z38" s="2119"/>
      <c r="AA38" s="2120"/>
      <c r="AB38" s="2130"/>
      <c r="AC38" s="1482" t="s">
        <v>484</v>
      </c>
      <c r="AD38" s="2118" t="s">
        <v>425</v>
      </c>
      <c r="AE38" s="2120"/>
      <c r="AF38" s="2118" t="s">
        <v>426</v>
      </c>
      <c r="AG38" s="2119"/>
      <c r="AH38" s="2120"/>
      <c r="AI38" s="2130"/>
      <c r="AJ38" s="2133"/>
      <c r="AK38" s="1971"/>
    </row>
    <row customHeight="1" ht="33.75">
      <c r="A39" s="1400"/>
      <c r="B39" s="1400" t="s">
        <v>134</v>
      </c>
      <c r="C39" s="1400" t="s">
        <v>135</v>
      </c>
      <c r="D39" s="1400" t="s">
        <v>136</v>
      </c>
      <c r="E39" s="1394" t="s">
        <v>427</v>
      </c>
      <c r="F39" s="1394" t="s">
        <v>428</v>
      </c>
      <c r="G39" s="1394" t="s">
        <v>429</v>
      </c>
      <c r="H39" s="1394"/>
      <c r="I39" s="1394" t="s">
        <v>485</v>
      </c>
      <c r="J39" s="1394" t="s">
        <v>432</v>
      </c>
      <c r="K39" s="1394" t="s">
        <v>486</v>
      </c>
      <c r="L39" s="1394" t="s">
        <v>408</v>
      </c>
      <c r="Q39" s="377"/>
      <c r="R39" s="377"/>
      <c r="S39" s="2125"/>
      <c r="T39" s="2062"/>
      <c r="U39" s="290"/>
      <c r="V39" s="1482" t="s">
        <v>487</v>
      </c>
      <c r="W39" s="1237" t="s">
        <v>488</v>
      </c>
      <c r="X39" s="1237" t="s">
        <v>489</v>
      </c>
      <c r="Y39" s="1485" t="s">
        <v>436</v>
      </c>
      <c r="Z39" s="2121" t="s">
        <v>437</v>
      </c>
      <c r="AA39" s="2122"/>
      <c r="AB39" s="2131"/>
      <c r="AC39" s="1482" t="s">
        <v>487</v>
      </c>
      <c r="AD39" s="1237" t="s">
        <v>488</v>
      </c>
      <c r="AE39" s="1237" t="s">
        <v>489</v>
      </c>
      <c r="AF39" s="1485" t="s">
        <v>436</v>
      </c>
      <c r="AG39" s="2121" t="s">
        <v>437</v>
      </c>
      <c r="AH39" s="2122"/>
      <c r="AI39" s="2131"/>
      <c r="AJ39" s="2134"/>
      <c r="AK39" s="1971"/>
    </row>
    <row s="2611"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108</v>
      </c>
      <c r="T40" s="1281" t="s">
        <v>109</v>
      </c>
      <c r="U40" s="1263" t="str">
        <f>OFFSET(U40,0,-1)</f>
        <v>2</v>
      </c>
      <c r="V40" s="1481">
        <f>OFFSET(V40,0,-1)+1</f>
        <v>3</v>
      </c>
      <c r="W40" s="1481">
        <f>OFFSET(W40,0,-1)+1</f>
        <v>4</v>
      </c>
      <c r="X40" s="1481">
        <f>OFFSET(X40,0,-1)+1</f>
        <v>5</v>
      </c>
      <c r="Y40" s="1481">
        <f>OFFSET(Y40,0,-1)+1</f>
        <v>6</v>
      </c>
      <c r="Z40" s="2123">
        <f>OFFSET(Z40,0,-1)+1</f>
        <v>7</v>
      </c>
      <c r="AA40" s="2123"/>
      <c r="AB40" s="1481">
        <f>OFFSET(AB40,0,-2)+1</f>
        <v>8</v>
      </c>
      <c r="AC40" s="1481">
        <f>OFFSET(AC40,0,-1)+1</f>
        <v>9</v>
      </c>
      <c r="AD40" s="1481">
        <f>OFFSET(AD40,0,-1)+1</f>
        <v>10</v>
      </c>
      <c r="AE40" s="1481">
        <f>OFFSET(AE40,0,-1)+1</f>
        <v>11</v>
      </c>
      <c r="AF40" s="1481">
        <f>OFFSET(AF40,0,-1)+1</f>
        <v>12</v>
      </c>
      <c r="AG40" s="2123">
        <f>OFFSET(AG40,0,-1)+1</f>
        <v>13</v>
      </c>
      <c r="AH40" s="2123"/>
      <c r="AI40" s="1481">
        <f>OFFSET(AI40,0,-2)+1</f>
        <v>14</v>
      </c>
      <c r="AJ40" s="1263">
        <f>OFFSET(AJ40,0,-1)</f>
        <v>14</v>
      </c>
      <c r="AK40" s="1481">
        <f>OFFSET(AK40,0,-1)+1</f>
        <v>15</v>
      </c>
      <c r="AL40" s="517"/>
      <c r="AM40" s="517"/>
      <c r="AN40" s="517"/>
      <c r="AO40" s="517"/>
      <c r="AP40" s="517"/>
    </row>
    <row customHeight="1" ht="23.25">
      <c r="A41" s="1393" t="s">
        <v>232</v>
      </c>
      <c r="B41" s="1393"/>
      <c r="C41" s="1393"/>
      <c r="D41" s="1393"/>
      <c r="E41" s="2107">
        <v>1</v>
      </c>
      <c r="F41" s="1393"/>
      <c r="G41" s="1393"/>
      <c r="H41" s="1393"/>
      <c r="I41" s="1393"/>
      <c r="J41" s="1393"/>
      <c r="K41" s="1393"/>
      <c r="L41" s="1394"/>
      <c r="M41" s="1395"/>
      <c r="N41" s="1395"/>
      <c r="O41" s="1395"/>
      <c r="P41" s="357"/>
      <c r="Q41" s="356"/>
      <c r="R41" s="351"/>
      <c r="S41" s="1487">
        <f>INDEX(PT_DIFFERENTIATION_NUM_NTAR,MATCH(A41,PT_DIFFERENTIATION_NTAR_ID,0))</f>
        <v>0</v>
      </c>
      <c r="T41" s="286" t="s">
        <v>122</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232</v>
      </c>
      <c r="B42" s="1393" t="s">
        <v>233</v>
      </c>
      <c r="C42" s="1393"/>
      <c r="D42" s="1393"/>
      <c r="E42" s="2108"/>
      <c r="F42" s="2107">
        <v>1</v>
      </c>
      <c r="G42" s="1393"/>
      <c r="H42" s="1393"/>
      <c r="I42" s="1393"/>
      <c r="J42" s="1393"/>
      <c r="K42" s="1393"/>
      <c r="L42" s="1394"/>
      <c r="M42" s="1395"/>
      <c r="N42" s="1395"/>
      <c r="O42" s="1395"/>
      <c r="P42" s="1483"/>
      <c r="Q42" s="348"/>
      <c r="R42" s="349"/>
      <c r="S42" s="1487" t="str">
        <f>INDEX(PT_DIFFERENTIATION_NUM_TER,MATCH(B42,PT_DIFFERENTIATION_TER_ID,0))</f>
        <v>.</v>
      </c>
      <c r="T42" s="298" t="s">
        <v>390</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391</v>
      </c>
      <c r="AM42" s="506"/>
      <c r="AN42" s="506" t="str">
        <f>IF(T42="","",T42)</f>
        <v>Территория действия тарифа</v>
      </c>
      <c r="AO42" s="506"/>
      <c r="AP42" s="506"/>
    </row>
    <row customHeight="1" ht="23.25">
      <c r="A43" s="1393" t="s">
        <v>232</v>
      </c>
      <c r="B43" s="1393" t="s">
        <v>233</v>
      </c>
      <c r="C43" s="1393" t="s">
        <v>234</v>
      </c>
      <c r="D43" s="1393"/>
      <c r="E43" s="2108"/>
      <c r="F43" s="2108"/>
      <c r="G43" s="2107">
        <v>1</v>
      </c>
      <c r="H43" s="1393"/>
      <c r="I43" s="1393"/>
      <c r="J43" s="1393"/>
      <c r="K43" s="1393"/>
      <c r="L43" s="1394"/>
      <c r="M43" s="1395"/>
      <c r="N43" s="1395"/>
      <c r="O43" s="1395"/>
      <c r="P43" s="350"/>
      <c r="Q43" s="348"/>
      <c r="R43" s="349"/>
      <c r="S43" s="1487" t="str">
        <f>INDEX(PT_DIFFERENTIATION_NUM_CS,MATCH(C43,PT_DIFFERENTIATION_CS_ID,0))</f>
        <v>..</v>
      </c>
      <c r="T43" s="299" t="s">
        <v>476</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477</v>
      </c>
      <c r="AM43" s="506"/>
      <c r="AN43" s="506" t="str">
        <f>IF(T43="","",T43)</f>
        <v>Наименование централизованной системы холодного водоснабжения</v>
      </c>
      <c r="AO43" s="506"/>
      <c r="AP43" s="506"/>
    </row>
    <row customHeight="1" ht="23.25">
      <c r="A44" s="1393" t="s">
        <v>232</v>
      </c>
      <c r="B44" s="1393" t="s">
        <v>233</v>
      </c>
      <c r="C44" s="1393" t="s">
        <v>234</v>
      </c>
      <c r="D44" s="1393" t="s">
        <v>493</v>
      </c>
      <c r="E44" s="2108"/>
      <c r="F44" s="2108"/>
      <c r="G44" s="2108"/>
      <c r="H44" s="2108"/>
      <c r="I44" s="2109" t="str">
        <f>S43&amp;".1"</f>
        <v>...1</v>
      </c>
      <c r="J44" s="1393"/>
      <c r="K44" s="1393"/>
      <c r="L44" s="1394"/>
      <c r="P44" s="2111">
        <v>1</v>
      </c>
      <c r="Q44" s="1480"/>
      <c r="R44" s="352"/>
      <c r="S44" s="1487" t="str">
        <f>$I44</f>
        <v>...1</v>
      </c>
      <c r="T44" s="273" t="s">
        <v>478</v>
      </c>
      <c r="U44" s="288"/>
      <c r="V44" s="2194"/>
      <c r="W44" s="2195"/>
      <c r="X44" s="2195"/>
      <c r="Y44" s="2195"/>
      <c r="Z44" s="2195"/>
      <c r="AA44" s="2195"/>
      <c r="AB44" s="2196"/>
      <c r="AC44" s="2197"/>
      <c r="AD44" s="2198"/>
      <c r="AE44" s="2198"/>
      <c r="AF44" s="2198"/>
      <c r="AG44" s="2198"/>
      <c r="AH44" s="2198"/>
      <c r="AI44" s="2198"/>
      <c r="AJ44" s="2199"/>
      <c r="AK44" s="1286" t="s">
        <v>479</v>
      </c>
      <c r="AM44" s="506"/>
      <c r="AN44" s="506" t="str">
        <f>IF(T44="","",T44)</f>
        <v>Наименование признака дифференциации</v>
      </c>
      <c r="AO44" s="506"/>
      <c r="AP44" s="506"/>
    </row>
    <row customHeight="1" ht="23.25">
      <c r="A45" s="1393" t="s">
        <v>232</v>
      </c>
      <c r="B45" s="1393" t="s">
        <v>233</v>
      </c>
      <c r="C45" s="1393" t="s">
        <v>234</v>
      </c>
      <c r="D45" s="1393" t="s">
        <v>493</v>
      </c>
      <c r="E45" s="2108"/>
      <c r="F45" s="2108"/>
      <c r="G45" s="2108"/>
      <c r="H45" s="2108"/>
      <c r="I45" s="2110"/>
      <c r="J45" s="2109" t="str">
        <f>I44&amp;".1"</f>
        <v>...1.1</v>
      </c>
      <c r="K45" s="1393"/>
      <c r="L45" s="1394" t="s">
        <v>399</v>
      </c>
      <c r="P45" s="2111"/>
      <c r="Q45" s="2111">
        <v>1</v>
      </c>
      <c r="R45" s="353"/>
      <c r="S45" s="1487" t="str">
        <f>$J45</f>
        <v>...1.1</v>
      </c>
      <c r="T45" s="274" t="s">
        <v>400</v>
      </c>
      <c r="U45" s="288"/>
      <c r="V45" s="2095"/>
      <c r="W45" s="2096"/>
      <c r="X45" s="2096"/>
      <c r="Y45" s="2096"/>
      <c r="Z45" s="2096"/>
      <c r="AA45" s="2096"/>
      <c r="AB45" s="2097"/>
      <c r="AC45" s="2095"/>
      <c r="AD45" s="2096"/>
      <c r="AE45" s="2096"/>
      <c r="AF45" s="2096"/>
      <c r="AG45" s="2096"/>
      <c r="AH45" s="2096"/>
      <c r="AI45" s="2096"/>
      <c r="AJ45" s="2097"/>
      <c r="AK45" s="1337" t="s">
        <v>480</v>
      </c>
      <c r="AM45" s="506"/>
      <c r="AN45" s="506" t="str">
        <f>IF(T45="","",T45)</f>
        <v>Группа потребителей</v>
      </c>
      <c r="AO45" s="506"/>
      <c r="AP45" s="506"/>
    </row>
    <row customHeight="1" ht="23.25">
      <c r="A46" s="1393" t="s">
        <v>232</v>
      </c>
      <c r="B46" s="1393" t="s">
        <v>233</v>
      </c>
      <c r="C46" s="1393" t="s">
        <v>234</v>
      </c>
      <c r="D46" s="1393" t="s">
        <v>493</v>
      </c>
      <c r="E46" s="2108"/>
      <c r="F46" s="2108"/>
      <c r="G46" s="2108"/>
      <c r="H46" s="2108"/>
      <c r="I46" s="2110"/>
      <c r="J46" s="2110"/>
      <c r="K46" s="2109" t="str">
        <f>J45&amp;".1"</f>
        <v>...1.1.1</v>
      </c>
      <c r="L46" s="1394"/>
      <c r="P46" s="2111"/>
      <c r="Q46" s="2111"/>
      <c r="R46" s="353">
        <v>1</v>
      </c>
      <c r="S46" s="1487" t="str">
        <f>$K46</f>
        <v>...1.1.1</v>
      </c>
      <c r="T46" s="1467"/>
      <c r="U46" s="288"/>
      <c r="V46" s="757"/>
      <c r="W46" s="757"/>
      <c r="X46" s="1285"/>
      <c r="Y46" s="2112"/>
      <c r="Z46" s="1981" t="s">
        <v>61</v>
      </c>
      <c r="AA46" s="2112"/>
      <c r="AB46" s="1981" t="s">
        <v>61</v>
      </c>
      <c r="AC46" s="757"/>
      <c r="AD46" s="757"/>
      <c r="AE46" s="1285"/>
      <c r="AF46" s="2112"/>
      <c r="AG46" s="1981" t="s">
        <v>61</v>
      </c>
      <c r="AH46" s="2114"/>
      <c r="AI46" s="1981" t="s">
        <v>61</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232</v>
      </c>
      <c r="B47" s="1393" t="s">
        <v>233</v>
      </c>
      <c r="C47" s="1393" t="s">
        <v>234</v>
      </c>
      <c r="D47" s="1393" t="s">
        <v>493</v>
      </c>
      <c r="E47" s="2108"/>
      <c r="F47" s="2108"/>
      <c r="G47" s="2108"/>
      <c r="H47" s="2108"/>
      <c r="I47" s="2110"/>
      <c r="J47" s="2110"/>
      <c r="K47" s="2109"/>
      <c r="L47" s="1394"/>
      <c r="P47" s="2111"/>
      <c r="Q47" s="2111"/>
      <c r="R47" s="353"/>
      <c r="S47" s="1486"/>
      <c r="T47" s="288"/>
      <c r="U47" s="288"/>
      <c r="V47" s="320"/>
      <c r="W47" s="320"/>
      <c r="X47" s="324" t="str">
        <f>Y46&amp;"-"&amp;AA46</f>
        <v>-</v>
      </c>
      <c r="Y47" s="2113"/>
      <c r="Z47" s="1981"/>
      <c r="AA47" s="2113"/>
      <c r="AB47" s="1981"/>
      <c r="AC47" s="320"/>
      <c r="AD47" s="320"/>
      <c r="AE47" s="324" t="str">
        <f>AF46&amp;"-"&amp;AH46</f>
        <v>-</v>
      </c>
      <c r="AF47" s="2113"/>
      <c r="AG47" s="1981"/>
      <c r="AH47" s="2115"/>
      <c r="AI47" s="1981"/>
      <c r="AJ47" s="1469"/>
      <c r="AK47" s="2200"/>
      <c r="AM47" s="506"/>
      <c r="AN47" s="506" t="str">
        <f>IF(T47="","",T47)</f>
        <v/>
      </c>
      <c r="AO47" s="506"/>
      <c r="AP47" s="506"/>
    </row>
    <row customHeight="1" ht="21">
      <c r="A48" s="1393" t="s">
        <v>232</v>
      </c>
      <c r="B48" s="1393" t="s">
        <v>233</v>
      </c>
      <c r="C48" s="1393" t="s">
        <v>234</v>
      </c>
      <c r="D48" s="1393" t="s">
        <v>493</v>
      </c>
      <c r="E48" s="2108"/>
      <c r="F48" s="2108"/>
      <c r="G48" s="2108"/>
      <c r="H48" s="2108"/>
      <c r="I48" s="2110"/>
      <c r="J48" s="2109"/>
      <c r="K48" s="1393"/>
      <c r="L48" s="1394"/>
      <c r="P48" s="2111"/>
      <c r="Q48" s="2111"/>
      <c r="R48" s="352"/>
      <c r="S48" s="1308"/>
      <c r="T48" s="275" t="s">
        <v>481</v>
      </c>
      <c r="U48" s="367"/>
      <c r="V48" s="367"/>
      <c r="W48" s="367"/>
      <c r="X48" s="367"/>
      <c r="Y48" s="367"/>
      <c r="Z48" s="367"/>
      <c r="AA48" s="367"/>
      <c r="AB48" s="367"/>
      <c r="AC48" s="367"/>
      <c r="AD48" s="367"/>
      <c r="AE48" s="367"/>
      <c r="AF48" s="367"/>
      <c r="AG48" s="367"/>
      <c r="AH48" s="367"/>
      <c r="AI48" s="367"/>
      <c r="AJ48" s="367"/>
      <c r="AK48" s="1286" t="s">
        <v>482</v>
      </c>
      <c r="AM48" s="506"/>
      <c r="AN48" s="506" t="str">
        <f>IF(T48="","",T48)</f>
        <v>Добавить значение признака дифференциации</v>
      </c>
      <c r="AO48" s="506"/>
      <c r="AP48" s="506"/>
    </row>
    <row customHeight="1" ht="21">
      <c r="A49" s="1393" t="s">
        <v>232</v>
      </c>
      <c r="B49" s="1393" t="s">
        <v>233</v>
      </c>
      <c r="C49" s="1393" t="s">
        <v>234</v>
      </c>
      <c r="D49" s="1393" t="s">
        <v>493</v>
      </c>
      <c r="E49" s="2108"/>
      <c r="F49" s="2108"/>
      <c r="G49" s="2108"/>
      <c r="H49" s="2108"/>
      <c r="I49" s="2109"/>
      <c r="J49" s="1393"/>
      <c r="K49" s="1393"/>
      <c r="L49" s="1394"/>
      <c r="P49" s="2111"/>
      <c r="Q49" s="1480"/>
      <c r="R49" s="352"/>
      <c r="S49" s="1308"/>
      <c r="T49" s="364" t="s">
        <v>405</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232</v>
      </c>
      <c r="B50" s="1393" t="s">
        <v>233</v>
      </c>
      <c r="C50" s="1393" t="s">
        <v>234</v>
      </c>
      <c r="D50" s="1393" t="s">
        <v>493</v>
      </c>
      <c r="E50" s="2108"/>
      <c r="F50" s="2108"/>
      <c r="G50" s="2108"/>
      <c r="H50" s="2107"/>
      <c r="I50" s="1393"/>
      <c r="J50" s="1393"/>
      <c r="K50" s="1393"/>
      <c r="L50" s="1394"/>
      <c r="M50" s="1395"/>
      <c r="N50" s="1395"/>
      <c r="O50" s="543"/>
      <c r="P50" s="356"/>
      <c r="Q50" s="376"/>
      <c r="R50" s="351"/>
      <c r="S50" s="1308"/>
      <c r="T50" s="372" t="s">
        <v>483</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4" customFormat="1" customHeight="1" ht="0">
      <c r="A51" s="1373" t="s">
        <v>232</v>
      </c>
      <c r="B51" s="1373" t="s">
        <v>233</v>
      </c>
      <c r="C51" s="1344"/>
      <c r="D51" s="1344"/>
      <c r="E51" s="2108"/>
      <c r="F51" s="2107"/>
      <c r="G51" s="1344"/>
      <c r="H51" s="1344"/>
      <c r="I51" s="1344"/>
      <c r="J51" s="1344"/>
      <c r="K51" s="1344"/>
      <c r="L51" s="1488"/>
      <c r="M51" s="1351"/>
      <c r="N51" s="1351"/>
      <c r="P51" s="1346"/>
      <c r="Q51" s="1347"/>
      <c r="R51" s="1346"/>
      <c r="S51" s="1352"/>
      <c r="T51" s="1355" t="s">
        <v>168</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2" customFormat="1" customHeight="1" ht="0">
      <c r="A52" s="1373" t="s">
        <v>232</v>
      </c>
      <c r="B52" s="1373"/>
      <c r="C52" s="1373"/>
      <c r="D52" s="1373"/>
      <c r="E52" s="2107"/>
      <c r="F52" s="1373"/>
      <c r="G52" s="1373"/>
      <c r="H52" s="1373"/>
      <c r="I52" s="1373"/>
      <c r="J52" s="1373"/>
      <c r="K52" s="1373"/>
      <c r="L52" s="1376"/>
      <c r="M52" s="1351"/>
      <c r="N52" s="1351"/>
      <c r="O52" s="524"/>
      <c r="P52" s="385"/>
      <c r="Q52" s="1374"/>
      <c r="R52" s="385"/>
      <c r="S52" s="1352"/>
      <c r="T52" s="1355" t="s">
        <v>169</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4" customFormat="1" customHeight="1" ht="0">
      <c r="A53" s="1344"/>
      <c r="B53" s="1344"/>
      <c r="C53" s="1344"/>
      <c r="D53" s="1344"/>
      <c r="E53" s="1373"/>
      <c r="F53" s="1344"/>
      <c r="G53" s="1344"/>
      <c r="H53" s="1344"/>
      <c r="I53" s="1344"/>
      <c r="J53" s="1344"/>
      <c r="K53" s="1344"/>
      <c r="L53" s="1488"/>
      <c r="M53" s="1351"/>
      <c r="N53" s="1351"/>
      <c r="P53" s="1346"/>
      <c r="Q53" s="1347"/>
      <c r="R53" s="1346"/>
      <c r="S53" s="1352"/>
      <c r="T53" s="1355" t="s">
        <v>170</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C714A5-B88C-8C23-FF38-ECDF2B308298}"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3293" width="11.57421875" hidden="1" customWidth="1"/>
    <col min="2" max="2" style="3293" width="11.00390625" hidden="1" customWidth="1"/>
    <col min="3" max="3" style="3293" width="10.57421875" hidden="1"/>
    <col min="4" max="4" style="3293" width="12.8515625" hidden="1" customWidth="1"/>
    <col min="5" max="5" style="3293" width="10.00390625" hidden="1" customWidth="1"/>
    <col min="6" max="6" style="3293" width="8.7109375" hidden="1" customWidth="1"/>
    <col min="7" max="7" style="3293" width="7.57421875" hidden="1" customWidth="1"/>
    <col min="8" max="8" style="3293" width="11.421875" hidden="1" customWidth="1"/>
    <col min="9" max="9" style="3293" width="12.00390625" hidden="1" customWidth="1"/>
    <col min="10" max="10" style="3293" width="9.8515625" hidden="1" customWidth="1"/>
    <col min="11" max="11" style="3293" width="11.421875" hidden="1" customWidth="1"/>
    <col min="12" max="12" style="4007" width="19.140625" hidden="1" customWidth="1"/>
    <col min="13" max="14" style="3295" width="12.28125" hidden="1" customWidth="1"/>
    <col min="15" max="15" style="3295" width="23.421875" hidden="1" customWidth="1"/>
    <col min="16" max="16" style="3295" width="3.7109375" hidden="1" customWidth="1"/>
    <col min="17" max="17" style="3297" width="3.7109375" hidden="1" customWidth="1"/>
    <col min="18" max="18" style="3372" width="3.7109375" customWidth="1"/>
    <col min="19" max="19" style="3373" width="12.7109375" customWidth="1"/>
    <col min="20" max="20" style="2941" width="32.00390625" customWidth="1"/>
    <col min="21" max="21" style="2941" width="0.140625" customWidth="1"/>
    <col min="22" max="25" style="2941" width="21.7109375" hidden="1" customWidth="1"/>
    <col min="26" max="26" style="2941" width="11.7109375" hidden="1" customWidth="1"/>
    <col min="27" max="27" style="2941" width="3.7109375" hidden="1" customWidth="1"/>
    <col min="28" max="28" style="2941" width="11.7109375" hidden="1" customWidth="1"/>
    <col min="29" max="29" style="2941" width="8.57421875" hidden="1" customWidth="1"/>
    <col min="30" max="32" style="2941" width="3.7109375" customWidth="1"/>
    <col min="33" max="33" style="2941" width="24.7109375" customWidth="1"/>
    <col min="34" max="36" style="2941" width="3.7109375" customWidth="1"/>
    <col min="37" max="37" style="2941" width="24.7109375" customWidth="1"/>
    <col min="38" max="40" style="2941" width="3.7109375" customWidth="1"/>
    <col min="41" max="41" style="2941" width="18.8515625" customWidth="1"/>
    <col min="42" max="44" style="2941" width="3.7109375" customWidth="1"/>
    <col min="45" max="45" style="2941" width="18.8515625" customWidth="1"/>
    <col min="46" max="49" style="2941" width="21.7109375" customWidth="1"/>
    <col min="50" max="50" style="2941" width="11.7109375" customWidth="1"/>
    <col min="51" max="51" style="2941" width="3.7109375" customWidth="1"/>
    <col min="52" max="52" style="2941" width="11.7109375" customWidth="1"/>
    <col min="53" max="53" style="2941" width="8.57421875" hidden="1" customWidth="1"/>
    <col min="54" max="54" style="2941" width="4.7109375" customWidth="1"/>
    <col min="55" max="55" style="2941" width="115.7109375" customWidth="1"/>
    <col min="56" max="57" style="2612" width="10.57421875"/>
    <col min="58" max="58" style="2612" width="11.140625" customWidth="1"/>
    <col min="59" max="60" style="2612" width="10.57421875"/>
  </cols>
  <sheetData>
    <row customHeight="1" ht="14.25" hidden="1">
      <c r="W1" s="323"/>
      <c r="Y1" s="323"/>
      <c r="Z1" s="323"/>
      <c r="AW1" s="323"/>
      <c r="AX1" s="323"/>
    </row>
    <row customHeight="1" ht="21" hidden="1">
      <c r="A2" s="1393"/>
      <c r="B2" s="1393"/>
      <c r="C2" s="1393"/>
      <c r="D2" s="1393"/>
      <c r="E2" s="2107">
        <v>1</v>
      </c>
      <c r="F2" s="1393"/>
      <c r="G2" s="1393"/>
      <c r="H2" s="1393"/>
      <c r="I2" s="1393"/>
      <c r="J2" s="1393"/>
      <c r="K2" s="1393"/>
      <c r="L2" s="1394"/>
      <c r="M2" s="1395"/>
      <c r="N2" s="1395"/>
      <c r="O2" s="1395"/>
      <c r="P2" s="1439"/>
      <c r="Q2" s="879"/>
      <c r="R2" s="351"/>
      <c r="S2" s="1495">
        <f>INDEX(PT_DIFFERENTIATION_NUM_NTAR,MATCH(A2,PT_DIFFERENTIATION_NTAR_ID,0))</f>
      </c>
      <c r="T2" s="286" t="s">
        <v>122</v>
      </c>
      <c r="U2" s="288"/>
      <c r="V2" s="2102"/>
      <c r="W2" s="2102"/>
      <c r="X2" s="2102"/>
      <c r="Y2" s="2102"/>
      <c r="Z2" s="2102"/>
      <c r="AA2" s="2102"/>
      <c r="AB2" s="2102"/>
      <c r="AC2" s="2103"/>
      <c r="AD2" s="2101">
        <f>INDEX(PT_DIFFERENTIATION_NTAR,MATCH(A2,PT_DIFFERENTIATION_NTAR_ID,0))</f>
      </c>
      <c r="AE2" s="2102"/>
      <c r="AF2" s="2102"/>
      <c r="AG2" s="2102"/>
      <c r="AH2" s="2102"/>
      <c r="AI2" s="2102"/>
      <c r="AJ2" s="2102"/>
      <c r="AK2" s="2102"/>
      <c r="AL2" s="2102"/>
      <c r="AM2" s="2102"/>
      <c r="AN2" s="2102"/>
      <c r="AO2" s="2102"/>
      <c r="AP2" s="2102"/>
      <c r="AQ2" s="2102"/>
      <c r="AR2" s="2102"/>
      <c r="AS2" s="2102"/>
      <c r="AT2" s="2102"/>
      <c r="AU2" s="2102"/>
      <c r="AV2" s="2102"/>
      <c r="AW2" s="2102"/>
      <c r="AX2" s="2102"/>
      <c r="AY2" s="2102"/>
      <c r="AZ2" s="2102"/>
      <c r="BA2" s="2102"/>
      <c r="BB2" s="2103"/>
      <c r="BC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3"/>
      <c r="B3" s="1393"/>
      <c r="C3" s="1393"/>
      <c r="D3" s="1393"/>
      <c r="E3" s="2108"/>
      <c r="F3" s="2107">
        <v>1</v>
      </c>
      <c r="G3" s="1393"/>
      <c r="H3" s="1393"/>
      <c r="I3" s="1393"/>
      <c r="J3" s="1393"/>
      <c r="K3" s="1393"/>
      <c r="L3" s="1394"/>
      <c r="M3" s="1395"/>
      <c r="N3" s="1395"/>
      <c r="O3" s="1395"/>
      <c r="P3" s="1440"/>
      <c r="Q3" s="1441"/>
      <c r="R3" s="349"/>
      <c r="S3" s="1495">
        <f>INDEX(PT_DIFFERENTIATION_NUM_TER,MATCH(B3,PT_DIFFERENTIATION_TER_ID,0))</f>
      </c>
      <c r="T3" s="298" t="s">
        <v>390</v>
      </c>
      <c r="U3" s="288"/>
      <c r="V3" s="2102"/>
      <c r="W3" s="2102"/>
      <c r="X3" s="2102"/>
      <c r="Y3" s="2102"/>
      <c r="Z3" s="2102"/>
      <c r="AA3" s="2102"/>
      <c r="AB3" s="2102"/>
      <c r="AC3" s="2103"/>
      <c r="AD3" s="2101">
        <f>INDEX(PT_DIFFERENTIATION_TER,MATCH(B3,PT_DIFFERENTIATION_TER_ID,0))</f>
      </c>
      <c r="AE3" s="2102"/>
      <c r="AF3" s="2102"/>
      <c r="AG3" s="2102"/>
      <c r="AH3" s="2102"/>
      <c r="AI3" s="2102"/>
      <c r="AJ3" s="2102"/>
      <c r="AK3" s="2102"/>
      <c r="AL3" s="2102"/>
      <c r="AM3" s="2102"/>
      <c r="AN3" s="2102"/>
      <c r="AO3" s="2102"/>
      <c r="AP3" s="2102"/>
      <c r="AQ3" s="2102"/>
      <c r="AR3" s="2102"/>
      <c r="AS3" s="2102"/>
      <c r="AT3" s="2102"/>
      <c r="AU3" s="2102"/>
      <c r="AV3" s="2102"/>
      <c r="AW3" s="2102"/>
      <c r="AX3" s="2102"/>
      <c r="AY3" s="2102"/>
      <c r="AZ3" s="2102"/>
      <c r="BA3" s="2102"/>
      <c r="BB3" s="2103"/>
      <c r="BC3" s="1286" t="s">
        <v>391</v>
      </c>
      <c r="BE3" s="506"/>
      <c r="BF3" s="506" t="str">
        <f>IF(T3="","",T3)</f>
        <v>Территория действия тарифа</v>
      </c>
      <c r="BG3" s="506"/>
      <c r="BH3" s="506"/>
    </row>
    <row customHeight="1" ht="42" hidden="1">
      <c r="A4" s="1393"/>
      <c r="B4" s="1393"/>
      <c r="C4" s="1393"/>
      <c r="D4" s="1393"/>
      <c r="E4" s="2108"/>
      <c r="F4" s="2108"/>
      <c r="G4" s="2107">
        <v>1</v>
      </c>
      <c r="H4" s="1393"/>
      <c r="I4" s="1393"/>
      <c r="J4" s="1393"/>
      <c r="K4" s="1393"/>
      <c r="L4" s="1394"/>
      <c r="M4" s="1395"/>
      <c r="N4" s="1395"/>
      <c r="O4" s="1395"/>
      <c r="P4" s="1442"/>
      <c r="Q4" s="1441"/>
      <c r="R4" s="349"/>
      <c r="S4" s="1495">
        <f>INDEX(PT_DIFFERENTIATION_NUM_CS,MATCH(C4,PT_DIFFERENTIATION_CS_ID,0))</f>
      </c>
      <c r="T4" s="299" t="s">
        <v>476</v>
      </c>
      <c r="U4" s="288"/>
      <c r="V4" s="2102"/>
      <c r="W4" s="2102"/>
      <c r="X4" s="2102"/>
      <c r="Y4" s="2102"/>
      <c r="Z4" s="2102"/>
      <c r="AA4" s="2102"/>
      <c r="AB4" s="2102"/>
      <c r="AC4" s="2103"/>
      <c r="AD4" s="2101">
        <f>INDEX(PT_DIFFERENTIATION_CS,MATCH(C4,PT_DIFFERENTIATION_CS_ID,0))</f>
      </c>
      <c r="AE4" s="2102"/>
      <c r="AF4" s="2102"/>
      <c r="AG4" s="2102"/>
      <c r="AH4" s="2102"/>
      <c r="AI4" s="2102"/>
      <c r="AJ4" s="2102"/>
      <c r="AK4" s="2102"/>
      <c r="AL4" s="2102"/>
      <c r="AM4" s="2102"/>
      <c r="AN4" s="2102"/>
      <c r="AO4" s="2102"/>
      <c r="AP4" s="2102"/>
      <c r="AQ4" s="2102"/>
      <c r="AR4" s="2102"/>
      <c r="AS4" s="2102"/>
      <c r="AT4" s="2102"/>
      <c r="AU4" s="2102"/>
      <c r="AV4" s="2102"/>
      <c r="AW4" s="2102"/>
      <c r="AX4" s="2102"/>
      <c r="AY4" s="2102"/>
      <c r="AZ4" s="2102"/>
      <c r="BA4" s="2102"/>
      <c r="BB4" s="2103"/>
      <c r="BC4" s="1286" t="s">
        <v>477</v>
      </c>
      <c r="BE4" s="506"/>
      <c r="BF4" s="506" t="str">
        <f>IF(T4="","",T4)</f>
        <v>Наименование централизованной системы холодного водоснабжения</v>
      </c>
      <c r="BG4" s="506"/>
      <c r="BH4" s="506"/>
    </row>
    <row s="2612" customFormat="1" customHeight="1" ht="14.25" hidden="1">
      <c r="A5" s="1373"/>
      <c r="B5" s="1373"/>
      <c r="C5" s="1373"/>
      <c r="D5" s="1373"/>
      <c r="E5" s="2108"/>
      <c r="F5" s="2108"/>
      <c r="G5" s="2108"/>
      <c r="H5" s="2107">
        <v>1</v>
      </c>
      <c r="I5" s="1373"/>
      <c r="J5" s="1373"/>
      <c r="K5" s="1373"/>
      <c r="L5" s="1376"/>
      <c r="M5" s="1345"/>
      <c r="N5" s="1345"/>
      <c r="O5" s="1345"/>
      <c r="P5" s="1527"/>
      <c r="Q5" s="1528"/>
      <c r="R5" s="353"/>
      <c r="S5" s="1049"/>
      <c r="T5" s="1529"/>
      <c r="U5" s="1414"/>
      <c r="V5" s="2148"/>
      <c r="W5" s="2148"/>
      <c r="X5" s="2148"/>
      <c r="Y5" s="2148"/>
      <c r="Z5" s="2148"/>
      <c r="AA5" s="2148"/>
      <c r="AB5" s="2148"/>
      <c r="AC5" s="2149"/>
      <c r="AD5" s="2147"/>
      <c r="AE5" s="2148"/>
      <c r="AF5" s="2148"/>
      <c r="AG5" s="2148"/>
      <c r="AH5" s="2148"/>
      <c r="AI5" s="2148"/>
      <c r="AJ5" s="2148"/>
      <c r="AK5" s="2148"/>
      <c r="AL5" s="2148"/>
      <c r="AM5" s="2148"/>
      <c r="AN5" s="2148"/>
      <c r="AO5" s="2148"/>
      <c r="AP5" s="2148"/>
      <c r="AQ5" s="2148"/>
      <c r="AR5" s="2148"/>
      <c r="AS5" s="2148"/>
      <c r="AT5" s="2148"/>
      <c r="AU5" s="2148"/>
      <c r="AV5" s="2148"/>
      <c r="AW5" s="2148"/>
      <c r="AX5" s="2148"/>
      <c r="AY5" s="2148"/>
      <c r="AZ5" s="2148"/>
      <c r="BA5" s="2148"/>
      <c r="BB5" s="2149"/>
      <c r="BC5" s="1415" t="s">
        <v>395</v>
      </c>
      <c r="BE5" s="506"/>
      <c r="BF5" s="506" t="str">
        <f>IF(T5="","",T5)</f>
        <v/>
      </c>
      <c r="BG5" s="506"/>
      <c r="BH5" s="506"/>
    </row>
    <row s="2612" customFormat="1" customHeight="1" ht="14.25" hidden="1">
      <c r="A6" s="1373"/>
      <c r="B6" s="1373"/>
      <c r="C6" s="1373"/>
      <c r="D6" s="1373"/>
      <c r="E6" s="2108"/>
      <c r="F6" s="2108"/>
      <c r="G6" s="2108"/>
      <c r="H6" s="2108"/>
      <c r="I6" s="2109" t="str">
        <f>S5&amp;".1"</f>
        <v>.1</v>
      </c>
      <c r="J6" s="1373"/>
      <c r="K6" s="1373"/>
      <c r="L6" s="1376" t="s">
        <v>396</v>
      </c>
      <c r="M6" s="516"/>
      <c r="N6" s="516"/>
      <c r="O6" s="516"/>
      <c r="P6" s="2111">
        <v>1</v>
      </c>
      <c r="Q6" s="1492"/>
      <c r="R6" s="352"/>
      <c r="S6" s="1049"/>
      <c r="T6" s="1413"/>
      <c r="U6" s="1414"/>
      <c r="V6" s="2148"/>
      <c r="W6" s="2148"/>
      <c r="X6" s="2148"/>
      <c r="Y6" s="2148"/>
      <c r="Z6" s="2148"/>
      <c r="AA6" s="2148"/>
      <c r="AB6" s="2148"/>
      <c r="AC6" s="2149"/>
      <c r="AD6" s="2147"/>
      <c r="AE6" s="2148"/>
      <c r="AF6" s="2148"/>
      <c r="AG6" s="2148"/>
      <c r="AH6" s="2148"/>
      <c r="AI6" s="2148"/>
      <c r="AJ6" s="2148"/>
      <c r="AK6" s="2148"/>
      <c r="AL6" s="2148"/>
      <c r="AM6" s="2148"/>
      <c r="AN6" s="2148"/>
      <c r="AO6" s="2148"/>
      <c r="AP6" s="2148"/>
      <c r="AQ6" s="2148"/>
      <c r="AR6" s="2148"/>
      <c r="AS6" s="2148"/>
      <c r="AT6" s="2148"/>
      <c r="AU6" s="2148"/>
      <c r="AV6" s="2148"/>
      <c r="AW6" s="2148"/>
      <c r="AX6" s="2148"/>
      <c r="AY6" s="2148"/>
      <c r="AZ6" s="2148"/>
      <c r="BA6" s="2148"/>
      <c r="BB6" s="2149"/>
      <c r="BC6" s="1415"/>
      <c r="BE6" s="506"/>
      <c r="BF6" s="506" t="str">
        <f>IF(T6="","",T6)</f>
        <v/>
      </c>
      <c r="BG6" s="506"/>
      <c r="BH6" s="506"/>
    </row>
    <row s="2612" customFormat="1" customHeight="1" ht="14.25" hidden="1">
      <c r="A7" s="1373"/>
      <c r="B7" s="1373"/>
      <c r="C7" s="1373"/>
      <c r="D7" s="1373"/>
      <c r="E7" s="2108"/>
      <c r="F7" s="2108"/>
      <c r="G7" s="2108"/>
      <c r="H7" s="2108"/>
      <c r="I7" s="2110"/>
      <c r="J7" s="2109" t="str">
        <f>S5&amp;".1"</f>
        <v>.1</v>
      </c>
      <c r="K7" s="1373"/>
      <c r="L7" s="1376"/>
      <c r="M7" s="516"/>
      <c r="N7" s="516"/>
      <c r="O7" s="516"/>
      <c r="P7" s="2111"/>
      <c r="Q7" s="2111">
        <v>1</v>
      </c>
      <c r="R7" s="353"/>
      <c r="S7" s="1049"/>
      <c r="T7" s="1429"/>
      <c r="U7" s="1414"/>
      <c r="V7" s="2148"/>
      <c r="W7" s="2148"/>
      <c r="X7" s="2148"/>
      <c r="Y7" s="2148"/>
      <c r="Z7" s="2148"/>
      <c r="AA7" s="2148"/>
      <c r="AB7" s="2148"/>
      <c r="AC7" s="2149"/>
      <c r="AD7" s="2147"/>
      <c r="AE7" s="2148"/>
      <c r="AF7" s="2148"/>
      <c r="AG7" s="2148"/>
      <c r="AH7" s="2148"/>
      <c r="AI7" s="2148"/>
      <c r="AJ7" s="2148"/>
      <c r="AK7" s="2148"/>
      <c r="AL7" s="2148"/>
      <c r="AM7" s="2148"/>
      <c r="AN7" s="2148"/>
      <c r="AO7" s="2148"/>
      <c r="AP7" s="2148"/>
      <c r="AQ7" s="2148"/>
      <c r="AR7" s="2148"/>
      <c r="AS7" s="2148"/>
      <c r="AT7" s="2148"/>
      <c r="AU7" s="2148"/>
      <c r="AV7" s="2148"/>
      <c r="AW7" s="2148"/>
      <c r="AX7" s="2148"/>
      <c r="AY7" s="2148"/>
      <c r="AZ7" s="2148"/>
      <c r="BA7" s="2148"/>
      <c r="BB7" s="2149"/>
      <c r="BC7" s="1415"/>
      <c r="BE7" s="506"/>
      <c r="BF7" s="506" t="str">
        <f>IF(T7="","",T7)</f>
        <v/>
      </c>
      <c r="BG7" s="506"/>
      <c r="BH7" s="506"/>
    </row>
    <row customHeight="1" ht="11.25" hidden="1">
      <c r="A8" s="1393"/>
      <c r="B8" s="1393"/>
      <c r="C8" s="1393"/>
      <c r="D8" s="1393"/>
      <c r="E8" s="2108"/>
      <c r="F8" s="2108"/>
      <c r="G8" s="2108"/>
      <c r="H8" s="2108"/>
      <c r="I8" s="2110"/>
      <c r="J8" s="2110"/>
      <c r="K8" s="2109">
        <f>S4&amp;".1"</f>
      </c>
      <c r="L8" s="1394"/>
      <c r="P8" s="2111"/>
      <c r="Q8" s="2111"/>
      <c r="R8" s="2187">
        <v>1</v>
      </c>
      <c r="S8" s="2184">
        <f>$K8</f>
      </c>
      <c r="T8" s="2203"/>
      <c r="U8" s="288"/>
      <c r="V8" s="757"/>
      <c r="W8" s="1285"/>
      <c r="X8" s="757"/>
      <c r="Y8" s="1285"/>
      <c r="Z8" s="1774"/>
      <c r="AA8" s="1489" t="s">
        <v>61</v>
      </c>
      <c r="AB8" s="1774"/>
      <c r="AC8" s="1489" t="s">
        <v>61</v>
      </c>
      <c r="AD8" s="2044" t="s">
        <v>61</v>
      </c>
      <c r="AE8" s="2180"/>
      <c r="AF8" s="2057">
        <v>1</v>
      </c>
      <c r="AG8" s="2202"/>
      <c r="AH8" s="1981" t="s">
        <v>61</v>
      </c>
      <c r="AI8" s="2180"/>
      <c r="AJ8" s="2057">
        <v>1</v>
      </c>
      <c r="AK8" s="2201" t="s">
        <v>24</v>
      </c>
      <c r="AL8" s="1981" t="s">
        <v>61</v>
      </c>
      <c r="AM8" s="2029"/>
      <c r="AN8" s="2057">
        <v>1</v>
      </c>
      <c r="AO8" s="2206"/>
      <c r="AP8" s="2207" t="s">
        <v>61</v>
      </c>
      <c r="AQ8" s="301"/>
      <c r="AR8" s="1493">
        <v>1</v>
      </c>
      <c r="AS8" s="1496" t="s">
        <v>24</v>
      </c>
      <c r="AT8" s="757"/>
      <c r="AU8" s="1285"/>
      <c r="AV8" s="757"/>
      <c r="AW8" s="1285"/>
      <c r="AX8" s="1774"/>
      <c r="AY8" s="1489" t="s">
        <v>61</v>
      </c>
      <c r="AZ8" s="1774"/>
      <c r="BA8" s="1489" t="s">
        <v>61</v>
      </c>
      <c r="BB8" s="1378"/>
      <c r="BC8" s="2137" t="s">
        <v>494</v>
      </c>
      <c r="BE8" s="506"/>
      <c r="BF8" s="506" t="str">
        <f>IF(T8="","",T8)</f>
        <v/>
      </c>
      <c r="BG8" s="506"/>
      <c r="BH8" s="506"/>
    </row>
    <row customHeight="1" ht="11.25" hidden="1">
      <c r="A9" s="1393"/>
      <c r="B9" s="1393"/>
      <c r="C9" s="1393"/>
      <c r="D9" s="1393"/>
      <c r="E9" s="2108"/>
      <c r="F9" s="2108"/>
      <c r="G9" s="2108"/>
      <c r="H9" s="2108"/>
      <c r="I9" s="2110"/>
      <c r="J9" s="2110"/>
      <c r="K9" s="2109"/>
      <c r="L9" s="1394"/>
      <c r="P9" s="2111"/>
      <c r="Q9" s="2111"/>
      <c r="R9" s="2187"/>
      <c r="S9" s="2185"/>
      <c r="T9" s="2204"/>
      <c r="U9" s="288"/>
      <c r="V9" s="1423"/>
      <c r="W9" s="1526"/>
      <c r="X9" s="1423"/>
      <c r="Y9" s="1526"/>
      <c r="Z9" s="1423"/>
      <c r="AA9" s="1423"/>
      <c r="AB9" s="1423"/>
      <c r="AC9" s="1423"/>
      <c r="AD9" s="2045"/>
      <c r="AE9" s="2180"/>
      <c r="AF9" s="2057"/>
      <c r="AG9" s="2202"/>
      <c r="AH9" s="1981"/>
      <c r="AI9" s="2180"/>
      <c r="AJ9" s="2057"/>
      <c r="AK9" s="2201"/>
      <c r="AL9" s="1981"/>
      <c r="AM9" s="2037"/>
      <c r="AN9" s="2057"/>
      <c r="AO9" s="2206"/>
      <c r="AP9" s="2208"/>
      <c r="AQ9" s="308"/>
      <c r="AR9" s="422"/>
      <c r="AS9" s="422" t="s">
        <v>495</v>
      </c>
      <c r="AT9" s="1423"/>
      <c r="AU9" s="1526"/>
      <c r="AV9" s="1423"/>
      <c r="AW9" s="1526"/>
      <c r="AX9" s="1423"/>
      <c r="AY9" s="1423"/>
      <c r="AZ9" s="1423"/>
      <c r="BA9" s="1423"/>
      <c r="BB9" s="1427"/>
      <c r="BC9" s="2138"/>
      <c r="BE9" s="506"/>
      <c r="BF9" s="506"/>
      <c r="BG9" s="506"/>
      <c r="BH9" s="506"/>
    </row>
    <row customHeight="1" ht="11.25" hidden="1">
      <c r="A10" s="1393"/>
      <c r="B10" s="1393"/>
      <c r="C10" s="1393"/>
      <c r="D10" s="1393"/>
      <c r="E10" s="2108"/>
      <c r="F10" s="2108"/>
      <c r="G10" s="2108"/>
      <c r="H10" s="2108"/>
      <c r="I10" s="2110"/>
      <c r="J10" s="2110"/>
      <c r="K10" s="2109"/>
      <c r="L10" s="1394"/>
      <c r="P10" s="2111"/>
      <c r="Q10" s="2111"/>
      <c r="R10" s="2187"/>
      <c r="S10" s="2185"/>
      <c r="T10" s="2204"/>
      <c r="U10" s="288"/>
      <c r="V10" s="1423"/>
      <c r="W10" s="1526"/>
      <c r="X10" s="1423"/>
      <c r="Y10" s="1526"/>
      <c r="Z10" s="1423"/>
      <c r="AA10" s="1423"/>
      <c r="AB10" s="1423"/>
      <c r="AC10" s="1423"/>
      <c r="AD10" s="2045"/>
      <c r="AE10" s="2180"/>
      <c r="AF10" s="2057"/>
      <c r="AG10" s="2202"/>
      <c r="AH10" s="1981"/>
      <c r="AI10" s="2180"/>
      <c r="AJ10" s="2057"/>
      <c r="AK10" s="2201"/>
      <c r="AL10" s="1981"/>
      <c r="AM10" s="308"/>
      <c r="AN10" s="1530"/>
      <c r="AO10" s="1530" t="s">
        <v>496</v>
      </c>
      <c r="AP10" s="422"/>
      <c r="AQ10" s="422"/>
      <c r="AR10" s="422"/>
      <c r="AS10" s="1423"/>
      <c r="AT10" s="1423"/>
      <c r="AU10" s="1526"/>
      <c r="AV10" s="1423"/>
      <c r="AW10" s="1526"/>
      <c r="AX10" s="1423"/>
      <c r="AY10" s="1423"/>
      <c r="AZ10" s="1423"/>
      <c r="BA10" s="1423"/>
      <c r="BB10" s="1427"/>
      <c r="BC10" s="2138"/>
      <c r="BE10" s="506"/>
      <c r="BF10" s="506"/>
      <c r="BG10" s="506"/>
      <c r="BH10" s="506"/>
    </row>
    <row customHeight="1" ht="11.25" hidden="1">
      <c r="A11" s="1393"/>
      <c r="B11" s="1393"/>
      <c r="C11" s="1393"/>
      <c r="D11" s="1393"/>
      <c r="E11" s="2108"/>
      <c r="F11" s="2108"/>
      <c r="G11" s="2108"/>
      <c r="H11" s="2108"/>
      <c r="I11" s="2110"/>
      <c r="J11" s="2110"/>
      <c r="K11" s="2109"/>
      <c r="L11" s="1394"/>
      <c r="P11" s="2111"/>
      <c r="Q11" s="2111"/>
      <c r="R11" s="2187"/>
      <c r="S11" s="2185"/>
      <c r="T11" s="2204"/>
      <c r="U11" s="288"/>
      <c r="V11" s="1423"/>
      <c r="W11" s="1526"/>
      <c r="X11" s="1423"/>
      <c r="Y11" s="1526"/>
      <c r="Z11" s="1423"/>
      <c r="AA11" s="1423"/>
      <c r="AB11" s="1423"/>
      <c r="AC11" s="1423"/>
      <c r="AD11" s="2045"/>
      <c r="AE11" s="2180"/>
      <c r="AF11" s="2057"/>
      <c r="AG11" s="2202"/>
      <c r="AH11" s="1981"/>
      <c r="AI11" s="282"/>
      <c r="AJ11" s="421"/>
      <c r="AK11" s="303" t="s">
        <v>497</v>
      </c>
      <c r="AL11" s="1423"/>
      <c r="AM11" s="1423"/>
      <c r="AN11" s="1423"/>
      <c r="AO11" s="1423"/>
      <c r="AP11" s="1423"/>
      <c r="AQ11" s="1423"/>
      <c r="AR11" s="1423"/>
      <c r="AS11" s="1423"/>
      <c r="AT11" s="1423"/>
      <c r="AU11" s="1526"/>
      <c r="AV11" s="1423"/>
      <c r="AW11" s="1526"/>
      <c r="AX11" s="1423"/>
      <c r="AY11" s="1423"/>
      <c r="AZ11" s="1423"/>
      <c r="BA11" s="1423"/>
      <c r="BB11" s="1427"/>
      <c r="BC11" s="2138"/>
      <c r="BE11" s="506"/>
      <c r="BF11" s="506"/>
      <c r="BG11" s="506"/>
      <c r="BH11" s="506"/>
    </row>
    <row customHeight="1" ht="11.25" hidden="1">
      <c r="A12" s="1393"/>
      <c r="B12" s="1393"/>
      <c r="C12" s="1393"/>
      <c r="D12" s="1393"/>
      <c r="E12" s="2108"/>
      <c r="F12" s="2108"/>
      <c r="G12" s="2108"/>
      <c r="H12" s="2108"/>
      <c r="I12" s="2110"/>
      <c r="J12" s="2110"/>
      <c r="K12" s="2109"/>
      <c r="L12" s="1394"/>
      <c r="P12" s="2111"/>
      <c r="Q12" s="2111"/>
      <c r="R12" s="2187"/>
      <c r="S12" s="2186"/>
      <c r="T12" s="2205"/>
      <c r="U12" s="288"/>
      <c r="V12" s="1423"/>
      <c r="W12" s="1424" t="str">
        <f>Z8&amp;"-"&amp;AB8</f>
        <v>-</v>
      </c>
      <c r="X12" s="1423"/>
      <c r="Y12" s="1424" t="str">
        <f>AB8&amp;"-"&amp;AD8</f>
        <v>-да</v>
      </c>
      <c r="Z12" s="1423"/>
      <c r="AA12" s="1423"/>
      <c r="AB12" s="1423"/>
      <c r="AC12" s="1423"/>
      <c r="AD12" s="1986"/>
      <c r="AE12" s="302"/>
      <c r="AF12" s="304"/>
      <c r="AG12" s="422" t="s">
        <v>498</v>
      </c>
      <c r="AH12" s="1423"/>
      <c r="AI12" s="1423"/>
      <c r="AJ12" s="1423"/>
      <c r="AK12" s="1423"/>
      <c r="AL12" s="1423"/>
      <c r="AM12" s="1423"/>
      <c r="AN12" s="1423"/>
      <c r="AO12" s="1423"/>
      <c r="AP12" s="1423"/>
      <c r="AQ12" s="1423"/>
      <c r="AR12" s="1423"/>
      <c r="AS12" s="1423"/>
      <c r="AT12" s="1423"/>
      <c r="AU12" s="1424" t="str">
        <f>AX8&amp;"-"&amp;AZ8</f>
        <v>-</v>
      </c>
      <c r="AV12" s="1423"/>
      <c r="AW12" s="1424" t="str">
        <f>AZ8&amp;"-"&amp;BB8</f>
        <v>-</v>
      </c>
      <c r="AX12" s="1423"/>
      <c r="AY12" s="1423"/>
      <c r="AZ12" s="1423"/>
      <c r="BA12" s="1423"/>
      <c r="BB12" s="1426" t="str">
        <f>BE8&amp;"-"&amp;BG8</f>
        <v>-</v>
      </c>
      <c r="BC12" s="2138"/>
      <c r="BE12" s="506"/>
      <c r="BF12" s="506" t="str">
        <f>IF(T12="","",T12)</f>
        <v/>
      </c>
      <c r="BG12" s="506"/>
      <c r="BH12" s="506"/>
    </row>
    <row customHeight="1" ht="11.25" hidden="1">
      <c r="A13" s="1393"/>
      <c r="B13" s="1393"/>
      <c r="C13" s="1393"/>
      <c r="D13" s="1393"/>
      <c r="E13" s="2108"/>
      <c r="F13" s="2108"/>
      <c r="G13" s="2108"/>
      <c r="H13" s="2108"/>
      <c r="I13" s="2110"/>
      <c r="J13" s="2109"/>
      <c r="K13" s="1393"/>
      <c r="L13" s="1394"/>
      <c r="P13" s="2111"/>
      <c r="Q13" s="2111"/>
      <c r="R13" s="352"/>
      <c r="S13" s="1308"/>
      <c r="T13" s="275" t="s">
        <v>462</v>
      </c>
      <c r="U13" s="367"/>
      <c r="V13" s="367"/>
      <c r="W13" s="367"/>
      <c r="X13" s="367"/>
      <c r="Y13" s="367"/>
      <c r="Z13" s="367"/>
      <c r="AA13" s="367"/>
      <c r="AB13" s="367"/>
      <c r="AC13" s="367"/>
      <c r="AD13" s="153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9"/>
      <c r="BE13" s="506"/>
      <c r="BF13" s="506" t="str">
        <f>IF(T13="","",T13)</f>
        <v>Добавить строку</v>
      </c>
      <c r="BG13" s="506"/>
      <c r="BH13" s="506"/>
    </row>
    <row s="2612" customFormat="1" customHeight="1" ht="14.25" hidden="1">
      <c r="A14" s="1373"/>
      <c r="B14" s="1373"/>
      <c r="C14" s="1373"/>
      <c r="D14" s="1373"/>
      <c r="E14" s="2108"/>
      <c r="F14" s="2108"/>
      <c r="G14" s="2108"/>
      <c r="H14" s="2108"/>
      <c r="I14" s="2109"/>
      <c r="J14" s="1373"/>
      <c r="K14" s="1373"/>
      <c r="L14" s="1376"/>
      <c r="M14" s="516"/>
      <c r="N14" s="516"/>
      <c r="O14" s="516"/>
      <c r="P14" s="2111"/>
      <c r="Q14" s="1492"/>
      <c r="R14" s="352"/>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8"/>
      <c r="AV14" s="1418"/>
      <c r="AW14" s="1418"/>
      <c r="AX14" s="1418"/>
      <c r="AY14" s="1418"/>
      <c r="AZ14" s="1418"/>
      <c r="BA14" s="1418"/>
      <c r="BB14" s="1418"/>
      <c r="BC14" s="1419"/>
      <c r="BE14" s="506"/>
      <c r="BF14" s="506" t="str">
        <f>IF(T14="","",T14)</f>
        <v/>
      </c>
      <c r="BG14" s="506"/>
      <c r="BH14" s="506"/>
    </row>
    <row s="2612" customFormat="1" customHeight="1" ht="14.25" hidden="1">
      <c r="A15" s="1373"/>
      <c r="B15" s="1373"/>
      <c r="C15" s="1373"/>
      <c r="D15" s="1373"/>
      <c r="E15" s="2108"/>
      <c r="F15" s="2108"/>
      <c r="G15" s="2108"/>
      <c r="H15" s="2107"/>
      <c r="I15" s="1373"/>
      <c r="J15" s="1373"/>
      <c r="K15" s="1373"/>
      <c r="L15" s="1376"/>
      <c r="M15" s="1345"/>
      <c r="N15" s="1345"/>
      <c r="O15" s="524"/>
      <c r="P15" s="385"/>
      <c r="Q15" s="1374"/>
      <c r="R15" s="1431"/>
      <c r="S15" s="1416"/>
      <c r="T15" s="1417"/>
      <c r="U15" s="1418"/>
      <c r="V15" s="1418"/>
      <c r="W15" s="1418"/>
      <c r="X15" s="1418"/>
      <c r="Y15" s="1418"/>
      <c r="Z15" s="1418"/>
      <c r="AA15" s="1418"/>
      <c r="AB15" s="1418"/>
      <c r="AC15" s="1418"/>
      <c r="AD15" s="1418"/>
      <c r="AE15" s="1418"/>
      <c r="AF15" s="1418"/>
      <c r="AG15" s="1418"/>
      <c r="AH15" s="1418"/>
      <c r="AI15" s="1418"/>
      <c r="AJ15" s="1418"/>
      <c r="AK15" s="1418"/>
      <c r="AL15" s="1418"/>
      <c r="AM15" s="1418"/>
      <c r="AN15" s="1418"/>
      <c r="AO15" s="1418"/>
      <c r="AP15" s="1418"/>
      <c r="AQ15" s="1418"/>
      <c r="AR15" s="1418"/>
      <c r="AS15" s="1418"/>
      <c r="AT15" s="1418"/>
      <c r="AU15" s="1418"/>
      <c r="AV15" s="1418"/>
      <c r="AW15" s="1418"/>
      <c r="AX15" s="1418"/>
      <c r="AY15" s="1418"/>
      <c r="AZ15" s="1418"/>
      <c r="BA15" s="1418"/>
      <c r="BB15" s="1418"/>
      <c r="BC15" s="1419"/>
      <c r="BE15" s="506"/>
      <c r="BF15" s="506" t="str">
        <f>IF(T15="","",T15)</f>
        <v/>
      </c>
      <c r="BG15" s="506"/>
      <c r="BH15" s="506"/>
    </row>
    <row s="3274" customFormat="1" customHeight="1" ht="14.25" hidden="1">
      <c r="A16" s="1373"/>
      <c r="B16" s="1373"/>
      <c r="C16" s="1373"/>
      <c r="D16" s="1344"/>
      <c r="E16" s="2108"/>
      <c r="F16" s="2108"/>
      <c r="G16" s="2107"/>
      <c r="H16" s="1344"/>
      <c r="I16" s="1344"/>
      <c r="J16" s="1344"/>
      <c r="K16" s="1344"/>
      <c r="L16" s="1494"/>
      <c r="M16" s="1345"/>
      <c r="N16" s="1345"/>
      <c r="P16" s="1346"/>
      <c r="Q16" s="1347"/>
      <c r="R16" s="1346"/>
      <c r="S16" s="1352"/>
      <c r="T16" s="1355"/>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V16" s="1354"/>
      <c r="AW16" s="1354"/>
      <c r="AX16" s="1354"/>
      <c r="AY16" s="1354"/>
      <c r="AZ16" s="1354"/>
      <c r="BA16" s="1354"/>
      <c r="BB16" s="1354"/>
      <c r="BC16" s="1354"/>
      <c r="BE16" s="795"/>
      <c r="BF16" s="795" t="str">
        <f>IF(T16="","",T16)</f>
        <v/>
      </c>
      <c r="BG16" s="795"/>
      <c r="BH16" s="795"/>
    </row>
    <row s="3274" customFormat="1" customHeight="1" ht="14.25" hidden="1">
      <c r="A17" s="1373"/>
      <c r="B17" s="1373"/>
      <c r="C17" s="1344"/>
      <c r="D17" s="1344"/>
      <c r="E17" s="2108"/>
      <c r="F17" s="2107"/>
      <c r="G17" s="1344"/>
      <c r="H17" s="1344"/>
      <c r="I17" s="1344"/>
      <c r="J17" s="1344"/>
      <c r="K17" s="1344"/>
      <c r="L17" s="1494"/>
      <c r="M17" s="1351"/>
      <c r="N17" s="1351"/>
      <c r="P17" s="1346"/>
      <c r="Q17" s="1347"/>
      <c r="R17" s="1346"/>
      <c r="S17" s="1352"/>
      <c r="T17" s="1355" t="s">
        <v>168</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V17" s="1354"/>
      <c r="AW17" s="1354"/>
      <c r="AX17" s="1354"/>
      <c r="AY17" s="1354"/>
      <c r="AZ17" s="1354"/>
      <c r="BA17" s="1354"/>
      <c r="BB17" s="1354"/>
      <c r="BC17" s="1354"/>
      <c r="BE17" s="795"/>
      <c r="BF17" s="795" t="str">
        <f>IF(T17="","",T17)</f>
        <v>Добавить централизованную систему для дифференциации</v>
      </c>
      <c r="BG17" s="795"/>
      <c r="BH17" s="795"/>
    </row>
    <row s="2612" customFormat="1" customHeight="1" ht="14.25" hidden="1">
      <c r="A18" s="1373"/>
      <c r="B18" s="1373"/>
      <c r="C18" s="1373"/>
      <c r="D18" s="1373"/>
      <c r="E18" s="2107"/>
      <c r="F18" s="1373"/>
      <c r="G18" s="1373"/>
      <c r="H18" s="1373"/>
      <c r="I18" s="1373"/>
      <c r="J18" s="1373"/>
      <c r="K18" s="1373"/>
      <c r="L18" s="1376"/>
      <c r="M18" s="1351"/>
      <c r="N18" s="1351"/>
      <c r="O18" s="524"/>
      <c r="P18" s="385"/>
      <c r="Q18" s="1374"/>
      <c r="R18" s="385"/>
      <c r="S18" s="1352"/>
      <c r="T18" s="1355" t="s">
        <v>169</v>
      </c>
      <c r="U18" s="1354"/>
      <c r="V18" s="1354"/>
      <c r="W18" s="1354"/>
      <c r="X18" s="1354"/>
      <c r="Y18" s="1354"/>
      <c r="Z18" s="1354"/>
      <c r="AA18" s="1354"/>
      <c r="AB18" s="1354"/>
      <c r="AC18" s="1354"/>
      <c r="AD18" s="1354"/>
      <c r="AE18" s="1354"/>
      <c r="AF18" s="1354"/>
      <c r="AG18" s="1354"/>
      <c r="AH18" s="1354"/>
      <c r="AI18" s="1354"/>
      <c r="AJ18" s="1354"/>
      <c r="AK18" s="1354"/>
      <c r="AL18" s="1354"/>
      <c r="AM18" s="1354"/>
      <c r="AN18" s="1354"/>
      <c r="AO18" s="1354"/>
      <c r="AP18" s="1354"/>
      <c r="AQ18" s="1354"/>
      <c r="AR18" s="1354"/>
      <c r="AS18" s="1354"/>
      <c r="AT18" s="1354"/>
      <c r="AU18" s="1354"/>
      <c r="AV18" s="1354"/>
      <c r="AW18" s="1354"/>
      <c r="AX18" s="1354"/>
      <c r="AY18" s="1354"/>
      <c r="AZ18" s="1354"/>
      <c r="BA18" s="1354"/>
      <c r="BB18" s="1354"/>
      <c r="BC18" s="1354"/>
      <c r="BE18" s="506"/>
      <c r="BF18" s="506" t="str">
        <f>IF(T18="","",T18)</f>
        <v>Добавить территорию для дифференциации</v>
      </c>
      <c r="BG18" s="506"/>
      <c r="BH18" s="506"/>
    </row>
    <row customHeight="1" ht="14.25" hidden="1">
      <c r="AC19" s="323"/>
      <c r="BA19" s="323"/>
    </row>
    <row customHeight="1" ht="14.25" hidden="1">
      <c r="AD20" s="1354" t="s">
        <v>56</v>
      </c>
      <c r="AE20" s="1531"/>
      <c r="AF20" s="554">
        <v>1</v>
      </c>
      <c r="AG20" s="1532"/>
      <c r="AH20" s="1354" t="s">
        <v>56</v>
      </c>
      <c r="AI20" s="1531"/>
      <c r="AJ20" s="554">
        <v>1</v>
      </c>
      <c r="AK20" s="1532"/>
      <c r="AL20" s="1354" t="s">
        <v>56</v>
      </c>
      <c r="AM20" s="1533"/>
      <c r="AN20" s="554">
        <v>1</v>
      </c>
      <c r="AO20" s="1534"/>
      <c r="AP20" s="1354" t="s">
        <v>56</v>
      </c>
      <c r="AQ20" s="1533"/>
      <c r="AR20" s="554">
        <v>1</v>
      </c>
      <c r="AS20" s="1534"/>
      <c r="AT20" s="320"/>
      <c r="AU20" s="390"/>
      <c r="AV20" s="320"/>
      <c r="AW20" s="390"/>
      <c r="AX20" s="1776"/>
      <c r="AY20" s="1490" t="s">
        <v>61</v>
      </c>
      <c r="AZ20" s="1776"/>
      <c r="BA20" s="1490" t="s">
        <v>61</v>
      </c>
    </row>
    <row customHeight="1" ht="14.25" hidden="1">
      <c r="BD21" s="502"/>
      <c r="BE21" s="502"/>
      <c r="BF21" s="502"/>
      <c r="BG21" s="502"/>
      <c r="BH21" s="502"/>
    </row>
    <row customHeight="1" ht="14.25" hidden="1">
      <c r="O22" s="1397" t="s">
        <v>407</v>
      </c>
      <c r="Z22" s="1375"/>
      <c r="AB22" s="1375"/>
      <c r="AC22" s="323"/>
      <c r="AX22" s="1375"/>
      <c r="AZ22" s="1375"/>
      <c r="BA22" s="323"/>
      <c r="BD22" s="502"/>
      <c r="BE22" s="502"/>
      <c r="BF22" s="502"/>
      <c r="BG22" s="502"/>
      <c r="BH22" s="502"/>
    </row>
    <row customHeight="1" ht="14.25" hidden="1">
      <c r="AC23" s="323"/>
      <c r="BA23" s="323"/>
      <c r="BD23" s="502"/>
      <c r="BE23" s="502"/>
      <c r="BF23" s="502"/>
      <c r="BG23" s="502"/>
      <c r="BH23" s="502"/>
    </row>
    <row s="3922" customFormat="1" customHeight="1" ht="14.25" hidden="1">
      <c r="M24" s="1538"/>
      <c r="N24" s="1538"/>
      <c r="O24" s="1539" t="s">
        <v>408</v>
      </c>
      <c r="P24" s="1538"/>
      <c r="Q24" s="1540"/>
      <c r="R24" s="1540"/>
      <c r="AA24" s="1537" t="s">
        <v>410</v>
      </c>
      <c r="AC24" s="1537" t="s">
        <v>411</v>
      </c>
      <c r="AD24" s="1537" t="s">
        <v>463</v>
      </c>
      <c r="AH24" s="1537" t="s">
        <v>463</v>
      </c>
      <c r="AK24" s="1537" t="s">
        <v>499</v>
      </c>
      <c r="AL24" s="1537" t="s">
        <v>463</v>
      </c>
      <c r="AP24" s="1537" t="s">
        <v>463</v>
      </c>
      <c r="AY24" s="1537" t="s">
        <v>410</v>
      </c>
      <c r="BA24" s="1537" t="s">
        <v>411</v>
      </c>
      <c r="BD24" s="1541"/>
      <c r="BE24" s="1541"/>
      <c r="BF24" s="1541"/>
      <c r="BG24" s="1541"/>
      <c r="BH24" s="1541"/>
    </row>
    <row customHeight="1" ht="14.25" hidden="1">
      <c r="O25" s="1394"/>
      <c r="BD25" s="502"/>
      <c r="BE25" s="502"/>
      <c r="BF25" s="502"/>
      <c r="BG25" s="502"/>
      <c r="BH25" s="502"/>
    </row>
    <row customHeight="1" ht="14.25" hidden="1">
      <c r="O26" s="1394"/>
      <c r="BD26" s="502"/>
      <c r="BE26" s="502"/>
      <c r="BF26" s="502"/>
      <c r="BG26" s="502"/>
      <c r="BH26" s="502"/>
    </row>
    <row customHeight="1" ht="14.25">
      <c r="Q27" s="279"/>
      <c r="R27" s="377"/>
      <c r="S27" s="1305"/>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40"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140"/>
      <c r="U28" s="2140"/>
      <c r="V28" s="2140"/>
      <c r="W28" s="2140"/>
      <c r="X28" s="2140"/>
      <c r="Y28" s="2140"/>
      <c r="Z28" s="2140"/>
      <c r="AA28" s="2140"/>
      <c r="AB28" s="2140"/>
      <c r="AC28" s="2140"/>
      <c r="AD28" s="2140"/>
      <c r="AE28" s="2140"/>
      <c r="AF28" s="2140"/>
      <c r="AG28" s="2140"/>
      <c r="AH28" s="2140"/>
      <c r="AI28" s="2140"/>
      <c r="AJ28" s="2140"/>
      <c r="AK28" s="2140"/>
      <c r="AL28" s="2140"/>
      <c r="AM28" s="2140"/>
      <c r="AN28" s="2140"/>
      <c r="AO28" s="2140"/>
      <c r="AP28" s="2140"/>
      <c r="AQ28" s="2140"/>
      <c r="AR28" s="2140"/>
      <c r="AS28" s="2140"/>
      <c r="AT28" s="2140"/>
      <c r="AU28" s="2140"/>
      <c r="AV28" s="2140"/>
      <c r="AW28" s="2140"/>
      <c r="AX28" s="2140"/>
      <c r="AY28" s="2140"/>
      <c r="AZ28" s="2140"/>
      <c r="BA28" s="1261"/>
    </row>
    <row customHeight="1" ht="14.25">
      <c r="Q29" s="279"/>
      <c r="R29" s="377"/>
      <c r="S29" s="2141" t="str">
        <f>IF(org=0,"Не определено",org)</f>
        <v>МУП г. Азова "Теплоэнерго"</v>
      </c>
      <c r="T29" s="2141"/>
      <c r="U29" s="2141"/>
      <c r="V29" s="2141"/>
      <c r="W29" s="2141"/>
      <c r="X29" s="2141"/>
      <c r="Y29" s="2141"/>
      <c r="Z29" s="2141"/>
      <c r="AA29" s="2141"/>
      <c r="AB29" s="2141"/>
      <c r="AC29" s="2141"/>
      <c r="AD29" s="2141"/>
      <c r="AE29" s="2141"/>
      <c r="AF29" s="2141"/>
      <c r="AG29" s="2141"/>
      <c r="AH29" s="2141"/>
      <c r="AI29" s="2141"/>
      <c r="AJ29" s="2141"/>
      <c r="AK29" s="2141"/>
      <c r="AL29" s="2141"/>
      <c r="AM29" s="2141"/>
      <c r="AN29" s="2141"/>
      <c r="AO29" s="2141"/>
      <c r="AP29" s="2141"/>
      <c r="AQ29" s="2141"/>
      <c r="AR29" s="2141"/>
      <c r="AS29" s="2141"/>
      <c r="AT29" s="2141"/>
      <c r="AU29" s="2141"/>
      <c r="AV29" s="2141"/>
      <c r="AW29" s="2141"/>
      <c r="AX29" s="2141"/>
      <c r="AY29" s="2141"/>
      <c r="AZ29" s="2141"/>
      <c r="BA29" s="1261"/>
    </row>
    <row customHeight="1" ht="14.25">
      <c r="Q30" s="279"/>
      <c r="R30" s="377"/>
      <c r="S30" s="1305"/>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306" customFormat="1" customHeight="1" ht="25.5">
      <c r="A31" s="1398"/>
      <c r="B31" s="1398"/>
      <c r="C31" s="1398"/>
      <c r="D31" s="1398"/>
      <c r="E31" s="1398"/>
      <c r="F31" s="1398"/>
      <c r="G31" s="1398"/>
      <c r="H31" s="1398"/>
      <c r="I31" s="1398"/>
      <c r="J31" s="1398"/>
      <c r="K31" s="1398"/>
      <c r="L31" s="1399"/>
      <c r="M31" s="1398"/>
      <c r="N31" s="1398"/>
      <c r="O31" s="1398"/>
      <c r="P31" s="1398"/>
      <c r="Q31" s="1398"/>
      <c r="S31" s="2098" t="s">
        <v>38</v>
      </c>
      <c r="T31" s="2098"/>
      <c r="U31" s="1402"/>
      <c r="V31" s="2100" t="str">
        <f>IF(TITLE_NAME_OR_PR_CHANGE="",IF(TITLE_NAME_OR_PR="","",TITLE_NAME_OR_PR),TITLE_NAME_OR_PR_CHANGE)</f>
        <v>Региональная служба по тарифам Ростовской области</v>
      </c>
      <c r="W31" s="2100"/>
      <c r="X31" s="2100"/>
      <c r="Y31" s="2100"/>
      <c r="Z31" s="2100"/>
      <c r="AA31" s="2100"/>
      <c r="AB31" s="2100"/>
      <c r="AC31" s="322"/>
      <c r="AD31" s="2100" t="str">
        <f>IF(TITLE_NAME_OR_PR_CHANGE="",IF(TITLE_NAME_OR_PR="","",TITLE_NAME_OR_PR),TITLE_NAME_OR_PR_CHANGE)</f>
        <v>Региональная служба по тарифам Ростовской области</v>
      </c>
      <c r="AE31" s="2100"/>
      <c r="AF31" s="2100"/>
      <c r="AG31" s="2100"/>
      <c r="AH31" s="2100"/>
      <c r="AI31" s="2100"/>
      <c r="AJ31" s="2100"/>
      <c r="AK31" s="2100"/>
      <c r="AL31" s="2100"/>
      <c r="AM31" s="2100"/>
      <c r="AN31" s="2100"/>
      <c r="AO31" s="2100"/>
      <c r="AP31" s="2100"/>
      <c r="AQ31" s="2100"/>
      <c r="AR31" s="2100"/>
      <c r="AS31" s="2100"/>
      <c r="AT31" s="2100"/>
      <c r="AU31" s="2100"/>
      <c r="AV31" s="2100"/>
      <c r="AW31" s="2100"/>
      <c r="AX31" s="2100"/>
      <c r="AY31" s="2100"/>
      <c r="AZ31" s="2100"/>
      <c r="BA31" s="322"/>
      <c r="BB31" s="322"/>
      <c r="BC31" s="268"/>
      <c r="BD31" s="368"/>
      <c r="BE31" s="368"/>
      <c r="BF31" s="368"/>
      <c r="BG31" s="368"/>
      <c r="BH31" s="368"/>
    </row>
    <row s="3306" customFormat="1" customHeight="1" ht="18.75">
      <c r="A32" s="1398"/>
      <c r="B32" s="1398"/>
      <c r="C32" s="1398"/>
      <c r="D32" s="1398"/>
      <c r="E32" s="1398"/>
      <c r="F32" s="1398"/>
      <c r="G32" s="1398"/>
      <c r="H32" s="1398"/>
      <c r="I32" s="1398"/>
      <c r="J32" s="1398"/>
      <c r="K32" s="1398"/>
      <c r="L32" s="1399"/>
      <c r="M32" s="1398"/>
      <c r="N32" s="1398"/>
      <c r="O32" s="1398"/>
      <c r="P32" s="1398"/>
      <c r="Q32" s="1398"/>
      <c r="S32" s="2098" t="s">
        <v>413</v>
      </c>
      <c r="T32" s="2098"/>
      <c r="U32" s="1402"/>
      <c r="V32" s="2099" t="str">
        <f>IF(TITLE_DATE_PR_CHANGE="",IF(TITLE_DATE_PR="","",TITLE_DATE_PR),TITLE_DATE_PR_CHANGE)</f>
        <v>45245.61800925926</v>
      </c>
      <c r="W32" s="2099"/>
      <c r="X32" s="2099"/>
      <c r="Y32" s="2099"/>
      <c r="Z32" s="2099"/>
      <c r="AA32" s="2099"/>
      <c r="AB32" s="2099"/>
      <c r="AC32" s="322"/>
      <c r="AD32" s="2099" t="str">
        <f>IF(TITLE_DATE_PR_CHANGE="",IF(TITLE_DATE_PR="","",TITLE_DATE_PR),TITLE_DATE_PR_CHANGE)</f>
        <v>45245.61800925926</v>
      </c>
      <c r="AE32" s="2099"/>
      <c r="AF32" s="2099"/>
      <c r="AG32" s="2099"/>
      <c r="AH32" s="2099"/>
      <c r="AI32" s="2099"/>
      <c r="AJ32" s="2099"/>
      <c r="AK32" s="2099"/>
      <c r="AL32" s="2099"/>
      <c r="AM32" s="2099"/>
      <c r="AN32" s="2099"/>
      <c r="AO32" s="2099"/>
      <c r="AP32" s="2099"/>
      <c r="AQ32" s="2099"/>
      <c r="AR32" s="2099"/>
      <c r="AS32" s="2099"/>
      <c r="AT32" s="2099"/>
      <c r="AU32" s="2099"/>
      <c r="AV32" s="2099"/>
      <c r="AW32" s="2099"/>
      <c r="AX32" s="2099"/>
      <c r="AY32" s="2099"/>
      <c r="AZ32" s="2099"/>
      <c r="BA32" s="322"/>
      <c r="BB32" s="322"/>
      <c r="BC32" s="268"/>
      <c r="BD32" s="368"/>
      <c r="BE32" s="368"/>
      <c r="BF32" s="368"/>
      <c r="BG32" s="368"/>
      <c r="BH32" s="368"/>
    </row>
    <row s="3306" customFormat="1" customHeight="1" ht="18.75">
      <c r="A33" s="1398"/>
      <c r="B33" s="1398"/>
      <c r="C33" s="1398"/>
      <c r="D33" s="1398"/>
      <c r="E33" s="1398"/>
      <c r="F33" s="1398"/>
      <c r="G33" s="1398"/>
      <c r="H33" s="1398"/>
      <c r="I33" s="1398"/>
      <c r="J33" s="1398"/>
      <c r="K33" s="1398"/>
      <c r="L33" s="1399"/>
      <c r="M33" s="1398"/>
      <c r="N33" s="1398"/>
      <c r="O33" s="1398"/>
      <c r="P33" s="1398"/>
      <c r="Q33" s="1398"/>
      <c r="S33" s="2098" t="s">
        <v>414</v>
      </c>
      <c r="T33" s="2098"/>
      <c r="U33" s="1402"/>
      <c r="V33" s="2100" t="str">
        <f>IF(TITLE_NUMBER_PR_CHANGE="",IF(TITLE_NUMBER_PR="","",TITLE_NUMBER_PR),TITLE_NUMBER_PR_CHANGE)</f>
        <v>550</v>
      </c>
      <c r="W33" s="2100"/>
      <c r="X33" s="2100"/>
      <c r="Y33" s="2100"/>
      <c r="Z33" s="2100"/>
      <c r="AA33" s="2100"/>
      <c r="AB33" s="2100"/>
      <c r="AC33" s="322"/>
      <c r="AD33" s="2100" t="str">
        <f>IF(TITLE_NUMBER_PR_CHANGE="",IF(TITLE_NUMBER_PR="","",TITLE_NUMBER_PR),TITLE_NUMBER_PR_CHANGE)</f>
        <v>550</v>
      </c>
      <c r="AE33" s="2100"/>
      <c r="AF33" s="2100"/>
      <c r="AG33" s="2100"/>
      <c r="AH33" s="2100"/>
      <c r="AI33" s="2100"/>
      <c r="AJ33" s="2100"/>
      <c r="AK33" s="2100"/>
      <c r="AL33" s="2100"/>
      <c r="AM33" s="2100"/>
      <c r="AN33" s="2100"/>
      <c r="AO33" s="2100"/>
      <c r="AP33" s="2100"/>
      <c r="AQ33" s="2100"/>
      <c r="AR33" s="2100"/>
      <c r="AS33" s="2100"/>
      <c r="AT33" s="2100"/>
      <c r="AU33" s="2100"/>
      <c r="AV33" s="2100"/>
      <c r="AW33" s="2100"/>
      <c r="AX33" s="2100"/>
      <c r="AY33" s="2100"/>
      <c r="AZ33" s="2100"/>
      <c r="BA33" s="322"/>
      <c r="BB33" s="322"/>
      <c r="BC33" s="268"/>
      <c r="BD33" s="368"/>
      <c r="BE33" s="368"/>
      <c r="BF33" s="368"/>
      <c r="BG33" s="368"/>
      <c r="BH33" s="368"/>
    </row>
    <row s="3306" customFormat="1" customHeight="1" ht="18.75">
      <c r="A34" s="1398"/>
      <c r="B34" s="1398"/>
      <c r="C34" s="1398"/>
      <c r="D34" s="1398"/>
      <c r="E34" s="1398"/>
      <c r="F34" s="1398"/>
      <c r="G34" s="1398"/>
      <c r="H34" s="1398"/>
      <c r="I34" s="1398"/>
      <c r="J34" s="1398"/>
      <c r="K34" s="1398"/>
      <c r="L34" s="1399"/>
      <c r="M34" s="1398"/>
      <c r="N34" s="1398"/>
      <c r="O34" s="1398"/>
      <c r="P34" s="1398"/>
      <c r="Q34" s="1398"/>
      <c r="S34" s="2098" t="s">
        <v>40</v>
      </c>
      <c r="T34" s="2098"/>
      <c r="U34" s="1402"/>
      <c r="V34" s="2100" t="str">
        <f>IF(TITLE_IST_PUB_CHANGE="",IF(TITLE_IST_PUB="","",TITLE_IST_PUB),TITLE_IST_PUB_CHANGE)</f>
        <v>https://rst.donland.ru</v>
      </c>
      <c r="W34" s="2100"/>
      <c r="X34" s="2100"/>
      <c r="Y34" s="2100"/>
      <c r="Z34" s="2100"/>
      <c r="AA34" s="2100"/>
      <c r="AB34" s="2100"/>
      <c r="AC34" s="322"/>
      <c r="AD34" s="2100" t="str">
        <f>IF(TITLE_IST_PUB_CHANGE="",IF(TITLE_IST_PUB="","",TITLE_IST_PUB),TITLE_IST_PUB_CHANGE)</f>
        <v>https://rst.donland.ru</v>
      </c>
      <c r="AE34" s="2100"/>
      <c r="AF34" s="2100"/>
      <c r="AG34" s="2100"/>
      <c r="AH34" s="2100"/>
      <c r="AI34" s="2100"/>
      <c r="AJ34" s="2100"/>
      <c r="AK34" s="2100"/>
      <c r="AL34" s="2100"/>
      <c r="AM34" s="2100"/>
      <c r="AN34" s="2100"/>
      <c r="AO34" s="2100"/>
      <c r="AP34" s="2100"/>
      <c r="AQ34" s="2100"/>
      <c r="AR34" s="2100"/>
      <c r="AS34" s="2100"/>
      <c r="AT34" s="2100"/>
      <c r="AU34" s="2100"/>
      <c r="AV34" s="2100"/>
      <c r="AW34" s="2100"/>
      <c r="AX34" s="2100"/>
      <c r="AY34" s="2100"/>
      <c r="AZ34" s="2100"/>
      <c r="BA34" s="322"/>
      <c r="BB34" s="322"/>
      <c r="BC34" s="268"/>
      <c r="BD34" s="368"/>
      <c r="BE34" s="368"/>
      <c r="BF34" s="368"/>
      <c r="BG34" s="368"/>
      <c r="BH34" s="368"/>
    </row>
    <row customHeight="1" ht="14.25" hidden="1">
      <c r="Q35" s="279"/>
      <c r="R35" s="377"/>
      <c r="S35" s="1305"/>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306" customFormat="1" customHeight="1" ht="18.75" hidden="1">
      <c r="A36" s="1398"/>
      <c r="B36" s="1398"/>
      <c r="C36" s="1398"/>
      <c r="D36" s="1398"/>
      <c r="E36" s="1398"/>
      <c r="F36" s="1398"/>
      <c r="G36" s="1398"/>
      <c r="H36" s="1398"/>
      <c r="I36" s="1398"/>
      <c r="J36" s="1398"/>
      <c r="K36" s="1398"/>
      <c r="L36" s="1399"/>
      <c r="M36" s="1398"/>
      <c r="N36" s="1398"/>
      <c r="O36" s="1398"/>
      <c r="P36" s="1398"/>
      <c r="Q36" s="1398"/>
      <c r="S36" s="2098" t="s">
        <v>413</v>
      </c>
      <c r="T36" s="2098"/>
      <c r="U36" s="1402"/>
      <c r="V36" s="2099" t="str">
        <f>IF(TITLE_DATE_PR_CHANGE="",IF(TITLE_DATE_PR="","",TITLE_DATE_PR),TITLE_DATE_PR_CHANGE)</f>
        <v>45245.61800925926</v>
      </c>
      <c r="W36" s="2099"/>
      <c r="X36" s="2099"/>
      <c r="Y36" s="2099"/>
      <c r="Z36" s="2099"/>
      <c r="AA36" s="2099"/>
      <c r="AB36" s="2099"/>
      <c r="AC36" s="322"/>
      <c r="AD36" s="2099" t="str">
        <f>IF(TITLE_DATE_PR_CHANGE="",IF(TITLE_DATE_PR="","",TITLE_DATE_PR),TITLE_DATE_PR_CHANGE)</f>
        <v>45245.61800925926</v>
      </c>
      <c r="AE36" s="2099"/>
      <c r="AF36" s="2099"/>
      <c r="AG36" s="2099"/>
      <c r="AH36" s="2099"/>
      <c r="AI36" s="2099"/>
      <c r="AJ36" s="2099"/>
      <c r="AK36" s="2099"/>
      <c r="AL36" s="2099"/>
      <c r="AM36" s="2099"/>
      <c r="AN36" s="2099"/>
      <c r="AO36" s="2099"/>
      <c r="AP36" s="2099"/>
      <c r="AQ36" s="2099"/>
      <c r="AR36" s="2099"/>
      <c r="AS36" s="2099"/>
      <c r="AT36" s="2099"/>
      <c r="AU36" s="2099"/>
      <c r="AV36" s="2099"/>
      <c r="AW36" s="2099"/>
      <c r="AX36" s="2099"/>
      <c r="AY36" s="2099"/>
      <c r="AZ36" s="2099"/>
      <c r="BA36" s="322"/>
      <c r="BB36" s="322"/>
      <c r="BC36" s="268"/>
      <c r="BD36" s="368"/>
      <c r="BE36" s="368"/>
      <c r="BF36" s="368"/>
      <c r="BG36" s="368"/>
      <c r="BH36" s="368"/>
    </row>
    <row s="3306" customFormat="1" customHeight="1" ht="18.75" hidden="1">
      <c r="A37" s="1398"/>
      <c r="B37" s="1398"/>
      <c r="C37" s="1398"/>
      <c r="D37" s="1398"/>
      <c r="E37" s="1398"/>
      <c r="F37" s="1398"/>
      <c r="G37" s="1398"/>
      <c r="H37" s="1398"/>
      <c r="I37" s="1398"/>
      <c r="J37" s="1398"/>
      <c r="K37" s="1398"/>
      <c r="L37" s="1399"/>
      <c r="M37" s="1398"/>
      <c r="N37" s="1398"/>
      <c r="O37" s="1398"/>
      <c r="P37" s="1398"/>
      <c r="Q37" s="1398"/>
      <c r="S37" s="2098" t="s">
        <v>414</v>
      </c>
      <c r="T37" s="2098"/>
      <c r="U37" s="1402"/>
      <c r="V37" s="2100" t="str">
        <f>IF(TITLE_NUMBER_PR_CHANGE="",IF(TITLE_NUMBER_PR="","",TITLE_NUMBER_PR),TITLE_NUMBER_PR_CHANGE)</f>
        <v>550</v>
      </c>
      <c r="W37" s="2100"/>
      <c r="X37" s="2100"/>
      <c r="Y37" s="2100"/>
      <c r="Z37" s="2100"/>
      <c r="AA37" s="2100"/>
      <c r="AB37" s="2100"/>
      <c r="AC37" s="322"/>
      <c r="AD37" s="2100" t="str">
        <f>IF(TITLE_NUMBER_PR_CHANGE="",IF(TITLE_NUMBER_PR="","",TITLE_NUMBER_PR),TITLE_NUMBER_PR_CHANGE)</f>
        <v>550</v>
      </c>
      <c r="AE37" s="2100"/>
      <c r="AF37" s="2100"/>
      <c r="AG37" s="2100"/>
      <c r="AH37" s="2100"/>
      <c r="AI37" s="2100"/>
      <c r="AJ37" s="2100"/>
      <c r="AK37" s="2100"/>
      <c r="AL37" s="2100"/>
      <c r="AM37" s="2100"/>
      <c r="AN37" s="2100"/>
      <c r="AO37" s="2100"/>
      <c r="AP37" s="2100"/>
      <c r="AQ37" s="2100"/>
      <c r="AR37" s="2100"/>
      <c r="AS37" s="2100"/>
      <c r="AT37" s="2100"/>
      <c r="AU37" s="2100"/>
      <c r="AV37" s="2100"/>
      <c r="AW37" s="2100"/>
      <c r="AX37" s="2100"/>
      <c r="AY37" s="2100"/>
      <c r="AZ37" s="2100"/>
      <c r="BA37" s="322"/>
      <c r="BB37" s="322"/>
      <c r="BC37" s="268"/>
      <c r="BD37" s="368"/>
      <c r="BE37" s="368"/>
      <c r="BF37" s="368"/>
      <c r="BG37" s="368"/>
      <c r="BH37" s="368"/>
    </row>
    <row s="3306" customFormat="1" customHeight="1" ht="0">
      <c r="A38" s="1398"/>
      <c r="B38" s="1398"/>
      <c r="C38" s="1398"/>
      <c r="D38" s="1398"/>
      <c r="E38" s="1398"/>
      <c r="F38" s="1398"/>
      <c r="G38" s="1398"/>
      <c r="H38" s="1398"/>
      <c r="I38" s="1398"/>
      <c r="J38" s="1398"/>
      <c r="K38" s="1398"/>
      <c r="L38" s="1399"/>
      <c r="M38" s="1398"/>
      <c r="N38" s="1398"/>
      <c r="O38" s="1398"/>
      <c r="P38" s="1398"/>
      <c r="Q38" s="1398"/>
      <c r="S38" s="318"/>
      <c r="T38" s="318"/>
      <c r="U38" s="1484"/>
      <c r="V38" s="322"/>
      <c r="W38" s="322"/>
      <c r="X38" s="322"/>
      <c r="Y38" s="322"/>
      <c r="Z38" s="322"/>
      <c r="AA38" s="322"/>
      <c r="AB38" s="322"/>
      <c r="AC38" s="266" t="s">
        <v>417</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417</v>
      </c>
      <c r="BD38" s="368"/>
      <c r="BE38" s="368"/>
      <c r="BF38" s="368"/>
      <c r="BG38" s="368"/>
      <c r="BH38" s="368"/>
    </row>
    <row customHeight="1" ht="14.25">
      <c r="Q39" s="279"/>
      <c r="R39" s="377"/>
      <c r="S39" s="1305"/>
      <c r="T39" s="361"/>
      <c r="U39" s="1262"/>
      <c r="V39" s="2124"/>
      <c r="W39" s="2124"/>
      <c r="X39" s="2124"/>
      <c r="Y39" s="2124"/>
      <c r="Z39" s="2124"/>
      <c r="AA39" s="2124"/>
      <c r="AB39" s="2124"/>
      <c r="AC39" s="2124"/>
      <c r="AD39" s="2124"/>
      <c r="AE39" s="2124"/>
      <c r="AF39" s="2124"/>
      <c r="AG39" s="2124"/>
      <c r="AH39" s="2124"/>
      <c r="AI39" s="2124"/>
      <c r="AJ39" s="2124"/>
      <c r="AK39" s="2124"/>
      <c r="AL39" s="2124"/>
      <c r="AM39" s="2124"/>
      <c r="AN39" s="2124"/>
      <c r="AO39" s="2124"/>
      <c r="AP39" s="2124"/>
      <c r="AQ39" s="2124"/>
      <c r="AR39" s="2124"/>
      <c r="AS39" s="2124"/>
      <c r="AT39" s="2124"/>
      <c r="AU39" s="2124"/>
      <c r="AV39" s="2124"/>
      <c r="AW39" s="2124"/>
      <c r="AX39" s="2124"/>
      <c r="AY39" s="2124"/>
      <c r="AZ39" s="2124"/>
      <c r="BA39" s="2124"/>
    </row>
    <row customHeight="1" ht="14.25">
      <c r="Q40" s="279"/>
      <c r="R40" s="377"/>
      <c r="S40" s="1971" t="s">
        <v>291</v>
      </c>
      <c r="T40" s="1971"/>
      <c r="U40" s="1971"/>
      <c r="V40" s="1971"/>
      <c r="W40" s="1971"/>
      <c r="X40" s="1971"/>
      <c r="Y40" s="1971"/>
      <c r="Z40" s="1971"/>
      <c r="AA40" s="1971"/>
      <c r="AB40" s="1971"/>
      <c r="AC40" s="1971"/>
      <c r="AD40" s="1971"/>
      <c r="AE40" s="1971"/>
      <c r="AF40" s="1971"/>
      <c r="AG40" s="1971"/>
      <c r="AH40" s="1971"/>
      <c r="AI40" s="1971"/>
      <c r="AJ40" s="1971"/>
      <c r="AK40" s="1971"/>
      <c r="AL40" s="1971"/>
      <c r="AM40" s="1971"/>
      <c r="AN40" s="1971"/>
      <c r="AO40" s="1971"/>
      <c r="AP40" s="1971"/>
      <c r="AQ40" s="1971"/>
      <c r="AR40" s="1971"/>
      <c r="AS40" s="1971"/>
      <c r="AT40" s="1971"/>
      <c r="AU40" s="1971"/>
      <c r="AV40" s="1971"/>
      <c r="AW40" s="1971"/>
      <c r="AX40" s="1971"/>
      <c r="AY40" s="1971"/>
      <c r="AZ40" s="1971"/>
      <c r="BA40" s="1971"/>
      <c r="BB40" s="1971"/>
      <c r="BC40" s="1971" t="s">
        <v>292</v>
      </c>
    </row>
    <row customHeight="1" ht="14.25">
      <c r="Q41" s="279"/>
      <c r="R41" s="377"/>
      <c r="S41" s="2125" t="s">
        <v>87</v>
      </c>
      <c r="T41" s="2062" t="s">
        <v>500</v>
      </c>
      <c r="U41" s="289"/>
      <c r="V41" s="2126" t="s">
        <v>419</v>
      </c>
      <c r="W41" s="2127"/>
      <c r="X41" s="2127"/>
      <c r="Y41" s="2127"/>
      <c r="Z41" s="2127"/>
      <c r="AA41" s="2127"/>
      <c r="AB41" s="2128"/>
      <c r="AC41" s="2129" t="s">
        <v>420</v>
      </c>
      <c r="AD41" s="2173" t="s">
        <v>501</v>
      </c>
      <c r="AE41" s="2146"/>
      <c r="AF41" s="2146"/>
      <c r="AG41" s="2174"/>
      <c r="AH41" s="2173" t="s">
        <v>502</v>
      </c>
      <c r="AI41" s="2146"/>
      <c r="AJ41" s="2146"/>
      <c r="AK41" s="2174"/>
      <c r="AL41" s="2173" t="s">
        <v>503</v>
      </c>
      <c r="AM41" s="2146"/>
      <c r="AN41" s="2146"/>
      <c r="AO41" s="2174"/>
      <c r="AP41" s="2173" t="s">
        <v>504</v>
      </c>
      <c r="AQ41" s="2146"/>
      <c r="AR41" s="2146"/>
      <c r="AS41" s="2174"/>
      <c r="AT41" s="2126" t="s">
        <v>419</v>
      </c>
      <c r="AU41" s="2127"/>
      <c r="AV41" s="2127"/>
      <c r="AW41" s="2127"/>
      <c r="AX41" s="2127"/>
      <c r="AY41" s="2127"/>
      <c r="AZ41" s="2128"/>
      <c r="BA41" s="2129" t="s">
        <v>420</v>
      </c>
      <c r="BB41" s="2132" t="s">
        <v>422</v>
      </c>
      <c r="BC41" s="1971"/>
    </row>
    <row customHeight="1" ht="33.75">
      <c r="Q42" s="279"/>
      <c r="R42" s="377"/>
      <c r="S42" s="2125"/>
      <c r="T42" s="2062"/>
      <c r="U42" s="1038"/>
      <c r="V42" s="2029" t="s">
        <v>505</v>
      </c>
      <c r="W42" s="2030"/>
      <c r="X42" s="2029" t="s">
        <v>506</v>
      </c>
      <c r="Y42" s="2030"/>
      <c r="Z42" s="2144" t="s">
        <v>507</v>
      </c>
      <c r="AA42" s="2162"/>
      <c r="AB42" s="2163"/>
      <c r="AC42" s="2130"/>
      <c r="AD42" s="2175"/>
      <c r="AE42" s="2176"/>
      <c r="AF42" s="2176"/>
      <c r="AG42" s="2188"/>
      <c r="AH42" s="2175"/>
      <c r="AI42" s="2176"/>
      <c r="AJ42" s="2176"/>
      <c r="AK42" s="2188"/>
      <c r="AL42" s="2175"/>
      <c r="AM42" s="2176"/>
      <c r="AN42" s="2176"/>
      <c r="AO42" s="2188"/>
      <c r="AP42" s="2175"/>
      <c r="AQ42" s="2176"/>
      <c r="AR42" s="2176"/>
      <c r="AS42" s="2188"/>
      <c r="AT42" s="2029" t="s">
        <v>505</v>
      </c>
      <c r="AU42" s="2030"/>
      <c r="AV42" s="2029" t="s">
        <v>506</v>
      </c>
      <c r="AW42" s="2030"/>
      <c r="AX42" s="2144" t="s">
        <v>507</v>
      </c>
      <c r="AY42" s="2162"/>
      <c r="AZ42" s="2163"/>
      <c r="BA42" s="2130"/>
      <c r="BB42" s="2133"/>
      <c r="BC42" s="1971"/>
    </row>
    <row customHeight="1" ht="14.25">
      <c r="Q43" s="279"/>
      <c r="R43" s="377"/>
      <c r="S43" s="2125"/>
      <c r="T43" s="2062"/>
      <c r="U43" s="1038"/>
      <c r="V43" s="2037"/>
      <c r="W43" s="2038"/>
      <c r="X43" s="2037"/>
      <c r="Y43" s="2038"/>
      <c r="Z43" s="2145"/>
      <c r="AA43" s="2164"/>
      <c r="AB43" s="2165"/>
      <c r="AC43" s="2130"/>
      <c r="AD43" s="2175"/>
      <c r="AE43" s="2176"/>
      <c r="AF43" s="2176"/>
      <c r="AG43" s="2188"/>
      <c r="AH43" s="2175"/>
      <c r="AI43" s="2176"/>
      <c r="AJ43" s="2176"/>
      <c r="AK43" s="2188"/>
      <c r="AL43" s="2175"/>
      <c r="AM43" s="2176"/>
      <c r="AN43" s="2176"/>
      <c r="AO43" s="2188"/>
      <c r="AP43" s="2175"/>
      <c r="AQ43" s="2176"/>
      <c r="AR43" s="2176"/>
      <c r="AS43" s="2188"/>
      <c r="AT43" s="2037"/>
      <c r="AU43" s="2038"/>
      <c r="AV43" s="2037"/>
      <c r="AW43" s="2038"/>
      <c r="AX43" s="2145"/>
      <c r="AY43" s="2164"/>
      <c r="AZ43" s="2165"/>
      <c r="BA43" s="2130"/>
      <c r="BB43" s="2133"/>
      <c r="BC43" s="1971"/>
    </row>
    <row customHeight="1" ht="14.25">
      <c r="A44" s="1400"/>
      <c r="B44" s="1400" t="s">
        <v>134</v>
      </c>
      <c r="C44" s="1400" t="s">
        <v>135</v>
      </c>
      <c r="D44" s="1400" t="s">
        <v>136</v>
      </c>
      <c r="E44" s="1394" t="s">
        <v>427</v>
      </c>
      <c r="F44" s="1394" t="s">
        <v>428</v>
      </c>
      <c r="G44" s="1394" t="s">
        <v>429</v>
      </c>
      <c r="H44" s="1394" t="s">
        <v>430</v>
      </c>
      <c r="I44" s="1394" t="s">
        <v>431</v>
      </c>
      <c r="J44" s="1394" t="s">
        <v>432</v>
      </c>
      <c r="K44" s="1394" t="s">
        <v>433</v>
      </c>
      <c r="L44" s="1394" t="s">
        <v>408</v>
      </c>
      <c r="Q44" s="279"/>
      <c r="R44" s="377"/>
      <c r="S44" s="2125"/>
      <c r="T44" s="2062"/>
      <c r="U44" s="290"/>
      <c r="V44" s="1478" t="s">
        <v>473</v>
      </c>
      <c r="W44" s="1478" t="s">
        <v>474</v>
      </c>
      <c r="X44" s="1478" t="s">
        <v>473</v>
      </c>
      <c r="Y44" s="1478" t="s">
        <v>474</v>
      </c>
      <c r="Z44" s="1485" t="s">
        <v>436</v>
      </c>
      <c r="AA44" s="2121" t="s">
        <v>437</v>
      </c>
      <c r="AB44" s="2122"/>
      <c r="AC44" s="2131"/>
      <c r="AD44" s="2177"/>
      <c r="AE44" s="2178"/>
      <c r="AF44" s="2178"/>
      <c r="AG44" s="2179"/>
      <c r="AH44" s="2177"/>
      <c r="AI44" s="2178"/>
      <c r="AJ44" s="2178"/>
      <c r="AK44" s="2179"/>
      <c r="AL44" s="2177"/>
      <c r="AM44" s="2178"/>
      <c r="AN44" s="2178"/>
      <c r="AO44" s="2179"/>
      <c r="AP44" s="2177"/>
      <c r="AQ44" s="2178"/>
      <c r="AR44" s="2178"/>
      <c r="AS44" s="2179"/>
      <c r="AT44" s="1478" t="s">
        <v>473</v>
      </c>
      <c r="AU44" s="1478" t="s">
        <v>474</v>
      </c>
      <c r="AV44" s="1478" t="s">
        <v>473</v>
      </c>
      <c r="AW44" s="1478" t="s">
        <v>474</v>
      </c>
      <c r="AX44" s="1485" t="s">
        <v>436</v>
      </c>
      <c r="AY44" s="2121" t="s">
        <v>437</v>
      </c>
      <c r="AZ44" s="2122"/>
      <c r="BA44" s="2131"/>
      <c r="BB44" s="2134"/>
      <c r="BC44" s="1971"/>
    </row>
    <row s="2611" customFormat="1" customHeight="1" ht="11.25" hidden="1">
      <c r="A45" s="1400"/>
      <c r="B45" s="1400"/>
      <c r="C45" s="1400"/>
      <c r="D45" s="1400"/>
      <c r="E45" s="1400"/>
      <c r="F45" s="1400"/>
      <c r="G45" s="1400"/>
      <c r="H45" s="1400"/>
      <c r="I45" s="1400"/>
      <c r="J45" s="1400"/>
      <c r="K45" s="1400"/>
      <c r="L45" s="1394"/>
      <c r="M45" s="1392"/>
      <c r="N45" s="1392"/>
      <c r="O45" s="1392"/>
      <c r="P45" s="516"/>
      <c r="Q45" s="1280"/>
      <c r="R45" s="1280">
        <v>1</v>
      </c>
      <c r="S45" s="1307" t="s">
        <v>108</v>
      </c>
      <c r="T45" s="1281" t="s">
        <v>109</v>
      </c>
      <c r="U45" s="1263" t="str">
        <f>OFFSET(U45,0,-1)</f>
        <v>2</v>
      </c>
      <c r="V45" s="1481">
        <f>OFFSET(V45,0,-1)+1</f>
        <v>3</v>
      </c>
      <c r="W45" s="1481">
        <f>OFFSET(W45,0,-1)+1</f>
        <v>4</v>
      </c>
      <c r="X45" s="1481">
        <f>OFFSET(X45,0,-1)+1</f>
        <v>5</v>
      </c>
      <c r="Y45" s="1481">
        <f>OFFSET(Y45,0,-1)+1</f>
        <v>6</v>
      </c>
      <c r="Z45" s="1481">
        <f>OFFSET(Z45,0,-1)+1</f>
        <v>7</v>
      </c>
      <c r="AA45" s="2123">
        <f>OFFSET(AA45,0,-1)+1</f>
        <v>8</v>
      </c>
      <c r="AB45" s="2123"/>
      <c r="AC45" s="1481">
        <f>OFFSET(AC45,0,-2)+1</f>
        <v>9</v>
      </c>
      <c r="AD45" s="1481">
        <f>OFFSET(AD45,0,-1)+1</f>
        <v>10</v>
      </c>
      <c r="AE45" s="1481"/>
      <c r="AF45" s="1481"/>
      <c r="AG45" s="1481"/>
      <c r="AH45" s="1481"/>
      <c r="AI45" s="1481"/>
      <c r="AJ45" s="1481"/>
      <c r="AK45" s="1481"/>
      <c r="AL45" s="1481"/>
      <c r="AM45" s="1481"/>
      <c r="AN45" s="1481"/>
      <c r="AO45" s="1481"/>
      <c r="AP45" s="1481"/>
      <c r="AQ45" s="1481"/>
      <c r="AR45" s="1481"/>
      <c r="AS45" s="1481"/>
      <c r="AT45" s="1481"/>
      <c r="AU45" s="1481"/>
      <c r="AV45" s="1481"/>
      <c r="AW45" s="1481">
        <f>OFFSET(AW45,0,-1)+1</f>
        <v>1</v>
      </c>
      <c r="AX45" s="1481">
        <f>OFFSET(AX45,0,-1)+1</f>
        <v>2</v>
      </c>
      <c r="AY45" s="2123">
        <f>OFFSET(AY45,0,-1)+1</f>
        <v>3</v>
      </c>
      <c r="AZ45" s="2123"/>
      <c r="BA45" s="1481">
        <f>OFFSET(BA45,0,-2)+1</f>
        <v>4</v>
      </c>
      <c r="BB45" s="1263">
        <f>OFFSET(BB45,0,-1)</f>
        <v>4</v>
      </c>
      <c r="BC45" s="1481">
        <f>OFFSET(BC45,0,-1)+1</f>
        <v>5</v>
      </c>
      <c r="BD45" s="517"/>
      <c r="BE45" s="517"/>
      <c r="BF45" s="517"/>
      <c r="BG45" s="517"/>
      <c r="BH45" s="517"/>
    </row>
    <row customHeight="1" ht="21">
      <c r="A46" s="1393" t="s">
        <v>237</v>
      </c>
      <c r="B46" s="1393"/>
      <c r="C46" s="1393"/>
      <c r="D46" s="1393"/>
      <c r="E46" s="2107">
        <v>1</v>
      </c>
      <c r="F46" s="1393"/>
      <c r="G46" s="1393"/>
      <c r="H46" s="1393"/>
      <c r="I46" s="1393"/>
      <c r="J46" s="1393"/>
      <c r="K46" s="1393"/>
      <c r="L46" s="1394"/>
      <c r="M46" s="1395"/>
      <c r="N46" s="1395"/>
      <c r="O46" s="1395"/>
      <c r="P46" s="1439"/>
      <c r="Q46" s="879"/>
      <c r="R46" s="351"/>
      <c r="S46" s="1487">
        <f>INDEX(PT_DIFFERENTIATION_NUM_NTAR,MATCH(A46,PT_DIFFERENTIATION_NTAR_ID,0))</f>
        <v>0</v>
      </c>
      <c r="T46" s="286" t="s">
        <v>122</v>
      </c>
      <c r="U46" s="288"/>
      <c r="V46" s="2102"/>
      <c r="W46" s="2102"/>
      <c r="X46" s="2102"/>
      <c r="Y46" s="2102"/>
      <c r="Z46" s="2102"/>
      <c r="AA46" s="2102"/>
      <c r="AB46" s="2102"/>
      <c r="AC46" s="2103"/>
      <c r="AD46" s="2101" t="str">
        <f>INDEX(PT_DIFFERENTIATION_NTAR,MATCH(A46,PT_DIFFERENTIATION_NTAR_ID,0))</f>
        <v/>
      </c>
      <c r="AE46" s="2102"/>
      <c r="AF46" s="2102"/>
      <c r="AG46" s="2102"/>
      <c r="AH46" s="2102"/>
      <c r="AI46" s="2102"/>
      <c r="AJ46" s="2102"/>
      <c r="AK46" s="2102"/>
      <c r="AL46" s="2102"/>
      <c r="AM46" s="2102"/>
      <c r="AN46" s="2102"/>
      <c r="AO46" s="2102"/>
      <c r="AP46" s="2102"/>
      <c r="AQ46" s="2102"/>
      <c r="AR46" s="2102"/>
      <c r="AS46" s="2102"/>
      <c r="AT46" s="2102"/>
      <c r="AU46" s="2102"/>
      <c r="AV46" s="2102"/>
      <c r="AW46" s="2102"/>
      <c r="AX46" s="2102"/>
      <c r="AY46" s="2102"/>
      <c r="AZ46" s="2102"/>
      <c r="BA46" s="2102"/>
      <c r="BB46" s="2103"/>
      <c r="BC46"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3" t="s">
        <v>237</v>
      </c>
      <c r="B47" s="1393" t="s">
        <v>238</v>
      </c>
      <c r="C47" s="1393"/>
      <c r="D47" s="1393"/>
      <c r="E47" s="2108"/>
      <c r="F47" s="2107">
        <v>1</v>
      </c>
      <c r="G47" s="1393"/>
      <c r="H47" s="1393"/>
      <c r="I47" s="1393"/>
      <c r="J47" s="1393"/>
      <c r="K47" s="1393"/>
      <c r="L47" s="1394"/>
      <c r="M47" s="1395"/>
      <c r="N47" s="1395"/>
      <c r="O47" s="1395"/>
      <c r="P47" s="1440"/>
      <c r="Q47" s="1441"/>
      <c r="R47" s="349"/>
      <c r="S47" s="1487" t="str">
        <f>INDEX(PT_DIFFERENTIATION_NUM_TER,MATCH(B47,PT_DIFFERENTIATION_TER_ID,0))</f>
        <v>.</v>
      </c>
      <c r="T47" s="298" t="s">
        <v>390</v>
      </c>
      <c r="U47" s="288"/>
      <c r="V47" s="2102"/>
      <c r="W47" s="2102"/>
      <c r="X47" s="2102"/>
      <c r="Y47" s="2102"/>
      <c r="Z47" s="2102"/>
      <c r="AA47" s="2102"/>
      <c r="AB47" s="2102"/>
      <c r="AC47" s="2103"/>
      <c r="AD47" s="2101" t="str">
        <f>INDEX(PT_DIFFERENTIATION_TER,MATCH(B47,PT_DIFFERENTIATION_TER_ID,0))</f>
        <v/>
      </c>
      <c r="AE47" s="2102"/>
      <c r="AF47" s="2102"/>
      <c r="AG47" s="2102"/>
      <c r="AH47" s="2102"/>
      <c r="AI47" s="2102"/>
      <c r="AJ47" s="2102"/>
      <c r="AK47" s="2102"/>
      <c r="AL47" s="2102"/>
      <c r="AM47" s="2102"/>
      <c r="AN47" s="2102"/>
      <c r="AO47" s="2102"/>
      <c r="AP47" s="2102"/>
      <c r="AQ47" s="2102"/>
      <c r="AR47" s="2102"/>
      <c r="AS47" s="2102"/>
      <c r="AT47" s="2102"/>
      <c r="AU47" s="2102"/>
      <c r="AV47" s="2102"/>
      <c r="AW47" s="2102"/>
      <c r="AX47" s="2102"/>
      <c r="AY47" s="2102"/>
      <c r="AZ47" s="2102"/>
      <c r="BA47" s="2102"/>
      <c r="BB47" s="2103"/>
      <c r="BC47" s="1286" t="s">
        <v>391</v>
      </c>
      <c r="BE47" s="506"/>
      <c r="BF47" s="506" t="str">
        <f>IF(T47="","",T47)</f>
        <v>Территория действия тарифа</v>
      </c>
      <c r="BG47" s="506"/>
      <c r="BH47" s="506"/>
    </row>
    <row customHeight="1" ht="42">
      <c r="A48" s="1393" t="s">
        <v>237</v>
      </c>
      <c r="B48" s="1393" t="s">
        <v>238</v>
      </c>
      <c r="C48" s="1393" t="s">
        <v>239</v>
      </c>
      <c r="D48" s="1393"/>
      <c r="E48" s="2108"/>
      <c r="F48" s="2108"/>
      <c r="G48" s="2107">
        <v>1</v>
      </c>
      <c r="H48" s="1393"/>
      <c r="I48" s="1393"/>
      <c r="J48" s="1393"/>
      <c r="K48" s="1393"/>
      <c r="L48" s="1394"/>
      <c r="M48" s="1395"/>
      <c r="N48" s="1395"/>
      <c r="O48" s="1395"/>
      <c r="P48" s="1442"/>
      <c r="Q48" s="1441"/>
      <c r="R48" s="349"/>
      <c r="S48" s="1487" t="str">
        <f>INDEX(PT_DIFFERENTIATION_NUM_CS,MATCH(C48,PT_DIFFERENTIATION_CS_ID,0))</f>
        <v>..</v>
      </c>
      <c r="T48" s="299" t="s">
        <v>476</v>
      </c>
      <c r="U48" s="288"/>
      <c r="V48" s="2102"/>
      <c r="W48" s="2102"/>
      <c r="X48" s="2102"/>
      <c r="Y48" s="2102"/>
      <c r="Z48" s="2102"/>
      <c r="AA48" s="2102"/>
      <c r="AB48" s="2102"/>
      <c r="AC48" s="2103"/>
      <c r="AD48" s="2101" t="str">
        <f>INDEX(PT_DIFFERENTIATION_CS,MATCH(C48,PT_DIFFERENTIATION_CS_ID,0))</f>
        <v/>
      </c>
      <c r="AE48" s="2102"/>
      <c r="AF48" s="2102"/>
      <c r="AG48" s="2102"/>
      <c r="AH48" s="2102"/>
      <c r="AI48" s="2102"/>
      <c r="AJ48" s="2102"/>
      <c r="AK48" s="2102"/>
      <c r="AL48" s="2102"/>
      <c r="AM48" s="2102"/>
      <c r="AN48" s="2102"/>
      <c r="AO48" s="2102"/>
      <c r="AP48" s="2102"/>
      <c r="AQ48" s="2102"/>
      <c r="AR48" s="2102"/>
      <c r="AS48" s="2102"/>
      <c r="AT48" s="2102"/>
      <c r="AU48" s="2102"/>
      <c r="AV48" s="2102"/>
      <c r="AW48" s="2102"/>
      <c r="AX48" s="2102"/>
      <c r="AY48" s="2102"/>
      <c r="AZ48" s="2102"/>
      <c r="BA48" s="2102"/>
      <c r="BB48" s="2103"/>
      <c r="BC48" s="1286" t="s">
        <v>477</v>
      </c>
      <c r="BE48" s="506"/>
      <c r="BF48" s="506" t="str">
        <f>IF(T48="","",T48)</f>
        <v>Наименование централизованной системы холодного водоснабжения</v>
      </c>
      <c r="BG48" s="506"/>
      <c r="BH48" s="506"/>
    </row>
    <row s="2612" customFormat="1" customHeight="1" ht="0">
      <c r="A49" s="1373" t="s">
        <v>237</v>
      </c>
      <c r="B49" s="1373" t="s">
        <v>238</v>
      </c>
      <c r="C49" s="1373" t="s">
        <v>239</v>
      </c>
      <c r="D49" s="1373" t="s">
        <v>508</v>
      </c>
      <c r="E49" s="2108"/>
      <c r="F49" s="2108"/>
      <c r="G49" s="2108"/>
      <c r="H49" s="2107">
        <v>1</v>
      </c>
      <c r="I49" s="1373"/>
      <c r="J49" s="1373"/>
      <c r="K49" s="1373"/>
      <c r="L49" s="1376"/>
      <c r="M49" s="1345"/>
      <c r="N49" s="1345"/>
      <c r="O49" s="1345"/>
      <c r="P49" s="1527"/>
      <c r="Q49" s="1528"/>
      <c r="R49" s="353"/>
      <c r="S49" s="1049"/>
      <c r="T49" s="1529"/>
      <c r="U49" s="1414"/>
      <c r="V49" s="2148"/>
      <c r="W49" s="2148"/>
      <c r="X49" s="2148"/>
      <c r="Y49" s="2148"/>
      <c r="Z49" s="2148"/>
      <c r="AA49" s="2148"/>
      <c r="AB49" s="2148"/>
      <c r="AC49" s="2149"/>
      <c r="AD49" s="2147"/>
      <c r="AE49" s="2148"/>
      <c r="AF49" s="2148"/>
      <c r="AG49" s="2148"/>
      <c r="AH49" s="2148"/>
      <c r="AI49" s="2148"/>
      <c r="AJ49" s="2148"/>
      <c r="AK49" s="2148"/>
      <c r="AL49" s="2148"/>
      <c r="AM49" s="2148"/>
      <c r="AN49" s="2148"/>
      <c r="AO49" s="2148"/>
      <c r="AP49" s="2148"/>
      <c r="AQ49" s="2148"/>
      <c r="AR49" s="2148"/>
      <c r="AS49" s="2148"/>
      <c r="AT49" s="2148"/>
      <c r="AU49" s="2148"/>
      <c r="AV49" s="2148"/>
      <c r="AW49" s="2148"/>
      <c r="AX49" s="2148"/>
      <c r="AY49" s="2148"/>
      <c r="AZ49" s="2148"/>
      <c r="BA49" s="2148"/>
      <c r="BB49" s="2149"/>
      <c r="BC49" s="1415" t="s">
        <v>395</v>
      </c>
      <c r="BE49" s="506"/>
      <c r="BF49" s="506" t="str">
        <f>IF(T49="","",T49)</f>
        <v/>
      </c>
      <c r="BG49" s="506"/>
      <c r="BH49" s="506"/>
    </row>
    <row s="2612" customFormat="1" customHeight="1" ht="0">
      <c r="A50" s="1373" t="s">
        <v>237</v>
      </c>
      <c r="B50" s="1373" t="s">
        <v>238</v>
      </c>
      <c r="C50" s="1373" t="s">
        <v>239</v>
      </c>
      <c r="D50" s="1373" t="s">
        <v>508</v>
      </c>
      <c r="E50" s="2108"/>
      <c r="F50" s="2108"/>
      <c r="G50" s="2108"/>
      <c r="H50" s="2108"/>
      <c r="I50" s="2109" t="str">
        <f>S49&amp;".1"</f>
        <v>.1</v>
      </c>
      <c r="J50" s="1373"/>
      <c r="K50" s="1373"/>
      <c r="L50" s="1376" t="s">
        <v>396</v>
      </c>
      <c r="M50" s="516"/>
      <c r="N50" s="516"/>
      <c r="O50" s="516"/>
      <c r="P50" s="2111">
        <v>1</v>
      </c>
      <c r="Q50" s="1492"/>
      <c r="R50" s="352"/>
      <c r="S50" s="1049"/>
      <c r="T50" s="1413"/>
      <c r="U50" s="1414"/>
      <c r="V50" s="2148"/>
      <c r="W50" s="2148"/>
      <c r="X50" s="2148"/>
      <c r="Y50" s="2148"/>
      <c r="Z50" s="2148"/>
      <c r="AA50" s="2148"/>
      <c r="AB50" s="2148"/>
      <c r="AC50" s="2149"/>
      <c r="AD50" s="2147"/>
      <c r="AE50" s="2148"/>
      <c r="AF50" s="2148"/>
      <c r="AG50" s="2148"/>
      <c r="AH50" s="2148"/>
      <c r="AI50" s="2148"/>
      <c r="AJ50" s="2148"/>
      <c r="AK50" s="2148"/>
      <c r="AL50" s="2148"/>
      <c r="AM50" s="2148"/>
      <c r="AN50" s="2148"/>
      <c r="AO50" s="2148"/>
      <c r="AP50" s="2148"/>
      <c r="AQ50" s="2148"/>
      <c r="AR50" s="2148"/>
      <c r="AS50" s="2148"/>
      <c r="AT50" s="2148"/>
      <c r="AU50" s="2148"/>
      <c r="AV50" s="2148"/>
      <c r="AW50" s="2148"/>
      <c r="AX50" s="2148"/>
      <c r="AY50" s="2148"/>
      <c r="AZ50" s="2148"/>
      <c r="BA50" s="2148"/>
      <c r="BB50" s="2149"/>
      <c r="BC50" s="1415"/>
      <c r="BE50" s="506"/>
      <c r="BF50" s="506" t="str">
        <f>IF(T50="","",T50)</f>
        <v/>
      </c>
      <c r="BG50" s="506"/>
      <c r="BH50" s="506"/>
    </row>
    <row s="2612" customFormat="1" customHeight="1" ht="0">
      <c r="A51" s="1373" t="s">
        <v>237</v>
      </c>
      <c r="B51" s="1373" t="s">
        <v>238</v>
      </c>
      <c r="C51" s="1373" t="s">
        <v>239</v>
      </c>
      <c r="D51" s="1373" t="s">
        <v>508</v>
      </c>
      <c r="E51" s="2108"/>
      <c r="F51" s="2108"/>
      <c r="G51" s="2108"/>
      <c r="H51" s="2108"/>
      <c r="I51" s="2110"/>
      <c r="J51" s="2109" t="str">
        <f>S49&amp;".1"</f>
        <v>.1</v>
      </c>
      <c r="K51" s="1373"/>
      <c r="L51" s="1376"/>
      <c r="M51" s="516"/>
      <c r="N51" s="516"/>
      <c r="O51" s="516"/>
      <c r="P51" s="2111"/>
      <c r="Q51" s="2111">
        <v>1</v>
      </c>
      <c r="R51" s="353"/>
      <c r="S51" s="1049"/>
      <c r="T51" s="1429"/>
      <c r="U51" s="1414"/>
      <c r="V51" s="2148"/>
      <c r="W51" s="2148"/>
      <c r="X51" s="2148"/>
      <c r="Y51" s="2148"/>
      <c r="Z51" s="2148"/>
      <c r="AA51" s="2148"/>
      <c r="AB51" s="2148"/>
      <c r="AC51" s="2149"/>
      <c r="AD51" s="2147"/>
      <c r="AE51" s="2148"/>
      <c r="AF51" s="2148"/>
      <c r="AG51" s="2148"/>
      <c r="AH51" s="2148"/>
      <c r="AI51" s="2148"/>
      <c r="AJ51" s="2148"/>
      <c r="AK51" s="2148"/>
      <c r="AL51" s="2148"/>
      <c r="AM51" s="2148"/>
      <c r="AN51" s="2209"/>
      <c r="AO51" s="2209"/>
      <c r="AP51" s="2148"/>
      <c r="AQ51" s="2148"/>
      <c r="AR51" s="2148"/>
      <c r="AS51" s="2148"/>
      <c r="AT51" s="2148"/>
      <c r="AU51" s="2148"/>
      <c r="AV51" s="2148"/>
      <c r="AW51" s="2148"/>
      <c r="AX51" s="2148"/>
      <c r="AY51" s="2148"/>
      <c r="AZ51" s="2148"/>
      <c r="BA51" s="2148"/>
      <c r="BB51" s="2149"/>
      <c r="BC51" s="1415"/>
      <c r="BE51" s="506"/>
      <c r="BF51" s="506" t="str">
        <f>IF(T51="","",T51)</f>
        <v/>
      </c>
      <c r="BG51" s="506"/>
      <c r="BH51" s="506"/>
    </row>
    <row customHeight="1" ht="11.25">
      <c r="A52" s="1393" t="s">
        <v>237</v>
      </c>
      <c r="B52" s="1393" t="s">
        <v>238</v>
      </c>
      <c r="C52" s="1393" t="s">
        <v>239</v>
      </c>
      <c r="D52" s="1393" t="s">
        <v>508</v>
      </c>
      <c r="E52" s="2108"/>
      <c r="F52" s="2108"/>
      <c r="G52" s="2108"/>
      <c r="H52" s="2108"/>
      <c r="I52" s="2110"/>
      <c r="J52" s="2110"/>
      <c r="K52" s="2109" t="str">
        <f>S48&amp;".1"</f>
        <v>...1</v>
      </c>
      <c r="L52" s="1394"/>
      <c r="P52" s="2111"/>
      <c r="Q52" s="2111"/>
      <c r="R52" s="353">
        <v>1</v>
      </c>
      <c r="S52" s="2184" t="str">
        <f>$K52</f>
        <v>...1</v>
      </c>
      <c r="T52" s="2203"/>
      <c r="U52" s="288"/>
      <c r="V52" s="757"/>
      <c r="W52" s="1285"/>
      <c r="X52" s="757"/>
      <c r="Y52" s="1285"/>
      <c r="Z52" s="1774"/>
      <c r="AA52" s="1489" t="s">
        <v>61</v>
      </c>
      <c r="AB52" s="1774"/>
      <c r="AC52" s="1489" t="s">
        <v>61</v>
      </c>
      <c r="AD52" s="2044" t="s">
        <v>61</v>
      </c>
      <c r="AE52" s="2180"/>
      <c r="AF52" s="2057">
        <v>1</v>
      </c>
      <c r="AG52" s="2202"/>
      <c r="AH52" s="1981" t="s">
        <v>61</v>
      </c>
      <c r="AI52" s="2180"/>
      <c r="AJ52" s="2057">
        <v>1</v>
      </c>
      <c r="AK52" s="2201" t="s">
        <v>24</v>
      </c>
      <c r="AL52" s="1981" t="s">
        <v>61</v>
      </c>
      <c r="AM52" s="2029"/>
      <c r="AN52" s="2057">
        <v>1</v>
      </c>
      <c r="AO52" s="2206"/>
      <c r="AP52" s="2207" t="s">
        <v>61</v>
      </c>
      <c r="AQ52" s="301"/>
      <c r="AR52" s="1493">
        <v>1</v>
      </c>
      <c r="AS52" s="1496" t="s">
        <v>24</v>
      </c>
      <c r="AT52" s="757"/>
      <c r="AU52" s="1285"/>
      <c r="AV52" s="757"/>
      <c r="AW52" s="1285"/>
      <c r="AX52" s="1774"/>
      <c r="AY52" s="1489" t="s">
        <v>61</v>
      </c>
      <c r="AZ52" s="1774"/>
      <c r="BA52" s="1489" t="s">
        <v>61</v>
      </c>
      <c r="BB52" s="1378"/>
      <c r="BC52" s="2137" t="s">
        <v>494</v>
      </c>
      <c r="BE52" s="506"/>
      <c r="BF52" s="506" t="str">
        <f>IF(T52="","",T52)</f>
        <v/>
      </c>
      <c r="BG52" s="506"/>
      <c r="BH52" s="506"/>
    </row>
    <row customHeight="1" ht="11.25">
      <c r="A53" s="1393"/>
      <c r="B53" s="1393"/>
      <c r="C53" s="1393"/>
      <c r="D53" s="1393"/>
      <c r="E53" s="2108"/>
      <c r="F53" s="2108"/>
      <c r="G53" s="2108"/>
      <c r="H53" s="2108"/>
      <c r="I53" s="2110"/>
      <c r="J53" s="2110"/>
      <c r="K53" s="2109"/>
      <c r="L53" s="1394"/>
      <c r="P53" s="2111"/>
      <c r="Q53" s="2111"/>
      <c r="R53" s="353"/>
      <c r="S53" s="2185"/>
      <c r="T53" s="2204"/>
      <c r="U53" s="288"/>
      <c r="V53" s="1423"/>
      <c r="W53" s="1526"/>
      <c r="X53" s="1423"/>
      <c r="Y53" s="1526"/>
      <c r="Z53" s="1423"/>
      <c r="AA53" s="1423"/>
      <c r="AB53" s="1423"/>
      <c r="AC53" s="1423"/>
      <c r="AD53" s="2045"/>
      <c r="AE53" s="2180"/>
      <c r="AF53" s="2057"/>
      <c r="AG53" s="2202"/>
      <c r="AH53" s="1981"/>
      <c r="AI53" s="2180"/>
      <c r="AJ53" s="2057"/>
      <c r="AK53" s="2201"/>
      <c r="AL53" s="1981"/>
      <c r="AM53" s="2037"/>
      <c r="AN53" s="2057"/>
      <c r="AO53" s="2206"/>
      <c r="AP53" s="2208"/>
      <c r="AQ53" s="308"/>
      <c r="AR53" s="422"/>
      <c r="AS53" s="422" t="s">
        <v>495</v>
      </c>
      <c r="AT53" s="1423"/>
      <c r="AU53" s="1526"/>
      <c r="AV53" s="1423"/>
      <c r="AW53" s="1526"/>
      <c r="AX53" s="1423"/>
      <c r="AY53" s="1423"/>
      <c r="AZ53" s="1423"/>
      <c r="BA53" s="1423"/>
      <c r="BB53" s="1427"/>
      <c r="BC53" s="2138"/>
      <c r="BE53" s="506"/>
      <c r="BF53" s="506"/>
      <c r="BG53" s="506"/>
      <c r="BH53" s="506"/>
    </row>
    <row customHeight="1" ht="11.25">
      <c r="A54" s="1393" t="s">
        <v>237</v>
      </c>
      <c r="B54" s="1393"/>
      <c r="C54" s="1393"/>
      <c r="D54" s="1393"/>
      <c r="E54" s="2108"/>
      <c r="F54" s="2108"/>
      <c r="G54" s="2108"/>
      <c r="H54" s="2108"/>
      <c r="I54" s="2110"/>
      <c r="J54" s="2110"/>
      <c r="K54" s="2109"/>
      <c r="L54" s="1394"/>
      <c r="P54" s="2111"/>
      <c r="Q54" s="2111"/>
      <c r="R54" s="353"/>
      <c r="S54" s="2185"/>
      <c r="T54" s="2204"/>
      <c r="U54" s="288"/>
      <c r="V54" s="1423"/>
      <c r="W54" s="1526"/>
      <c r="X54" s="1423"/>
      <c r="Y54" s="1526"/>
      <c r="Z54" s="1423"/>
      <c r="AA54" s="1423"/>
      <c r="AB54" s="1423"/>
      <c r="AC54" s="1423"/>
      <c r="AD54" s="2045"/>
      <c r="AE54" s="2180"/>
      <c r="AF54" s="2057"/>
      <c r="AG54" s="2202"/>
      <c r="AH54" s="1981"/>
      <c r="AI54" s="2180"/>
      <c r="AJ54" s="2057"/>
      <c r="AK54" s="2201"/>
      <c r="AL54" s="1981"/>
      <c r="AM54" s="308"/>
      <c r="AN54" s="1530"/>
      <c r="AO54" s="1530" t="s">
        <v>496</v>
      </c>
      <c r="AP54" s="422"/>
      <c r="AQ54" s="422"/>
      <c r="AR54" s="422"/>
      <c r="AS54" s="1423"/>
      <c r="AT54" s="1423"/>
      <c r="AU54" s="1526"/>
      <c r="AV54" s="1423"/>
      <c r="AW54" s="1526"/>
      <c r="AX54" s="1423"/>
      <c r="AY54" s="1423"/>
      <c r="AZ54" s="1423"/>
      <c r="BA54" s="1423"/>
      <c r="BB54" s="1427"/>
      <c r="BC54" s="2138"/>
      <c r="BE54" s="506"/>
      <c r="BF54" s="506"/>
      <c r="BG54" s="506"/>
      <c r="BH54" s="506"/>
    </row>
    <row customHeight="1" ht="11.25">
      <c r="A55" s="1393" t="s">
        <v>237</v>
      </c>
      <c r="B55" s="1393"/>
      <c r="C55" s="1393"/>
      <c r="D55" s="1393"/>
      <c r="E55" s="2108"/>
      <c r="F55" s="2108"/>
      <c r="G55" s="2108"/>
      <c r="H55" s="2108"/>
      <c r="I55" s="2110"/>
      <c r="J55" s="2110"/>
      <c r="K55" s="2109"/>
      <c r="L55" s="1394"/>
      <c r="P55" s="2111"/>
      <c r="Q55" s="2111"/>
      <c r="R55" s="353"/>
      <c r="S55" s="2185"/>
      <c r="T55" s="2204"/>
      <c r="U55" s="288"/>
      <c r="V55" s="1423"/>
      <c r="W55" s="1526"/>
      <c r="X55" s="1423"/>
      <c r="Y55" s="1526"/>
      <c r="Z55" s="1423"/>
      <c r="AA55" s="1423"/>
      <c r="AB55" s="1423"/>
      <c r="AC55" s="1423"/>
      <c r="AD55" s="2045"/>
      <c r="AE55" s="2180"/>
      <c r="AF55" s="2057"/>
      <c r="AG55" s="2202"/>
      <c r="AH55" s="1981"/>
      <c r="AI55" s="282"/>
      <c r="AJ55" s="421"/>
      <c r="AK55" s="303" t="s">
        <v>497</v>
      </c>
      <c r="AL55" s="1423"/>
      <c r="AM55" s="1423"/>
      <c r="AN55" s="1423"/>
      <c r="AO55" s="1423"/>
      <c r="AP55" s="1423"/>
      <c r="AQ55" s="1423"/>
      <c r="AR55" s="1423"/>
      <c r="AS55" s="1423"/>
      <c r="AT55" s="1423"/>
      <c r="AU55" s="1526"/>
      <c r="AV55" s="1423"/>
      <c r="AW55" s="1526"/>
      <c r="AX55" s="1423"/>
      <c r="AY55" s="1423"/>
      <c r="AZ55" s="1423"/>
      <c r="BA55" s="1423"/>
      <c r="BB55" s="1427"/>
      <c r="BC55" s="2138"/>
      <c r="BE55" s="506"/>
      <c r="BF55" s="506"/>
      <c r="BG55" s="506"/>
      <c r="BH55" s="506"/>
    </row>
    <row customHeight="1" ht="11.25">
      <c r="A56" s="1393" t="s">
        <v>237</v>
      </c>
      <c r="B56" s="1393" t="s">
        <v>238</v>
      </c>
      <c r="C56" s="1393" t="s">
        <v>239</v>
      </c>
      <c r="D56" s="1393" t="s">
        <v>508</v>
      </c>
      <c r="E56" s="2108"/>
      <c r="F56" s="2108"/>
      <c r="G56" s="2108"/>
      <c r="H56" s="2108"/>
      <c r="I56" s="2110"/>
      <c r="J56" s="2110"/>
      <c r="K56" s="2109"/>
      <c r="L56" s="1394"/>
      <c r="P56" s="2111"/>
      <c r="Q56" s="2111"/>
      <c r="R56" s="353"/>
      <c r="S56" s="2186"/>
      <c r="T56" s="2205"/>
      <c r="U56" s="288"/>
      <c r="V56" s="1423"/>
      <c r="W56" s="1424" t="str">
        <f>Z52&amp;"-"&amp;AB52</f>
        <v>-</v>
      </c>
      <c r="X56" s="1423"/>
      <c r="Y56" s="1424" t="str">
        <f>AB52&amp;"-"&amp;AD52</f>
        <v>-да</v>
      </c>
      <c r="Z56" s="1423"/>
      <c r="AA56" s="1423"/>
      <c r="AB56" s="1423"/>
      <c r="AC56" s="1423"/>
      <c r="AD56" s="1986"/>
      <c r="AE56" s="302"/>
      <c r="AF56" s="304"/>
      <c r="AG56" s="422" t="s">
        <v>498</v>
      </c>
      <c r="AH56" s="1423"/>
      <c r="AI56" s="1423"/>
      <c r="AJ56" s="1423"/>
      <c r="AK56" s="1423"/>
      <c r="AL56" s="1423"/>
      <c r="AM56" s="1423"/>
      <c r="AN56" s="1423"/>
      <c r="AO56" s="1423"/>
      <c r="AP56" s="1423"/>
      <c r="AQ56" s="1423"/>
      <c r="AR56" s="1423"/>
      <c r="AS56" s="1423"/>
      <c r="AT56" s="1423"/>
      <c r="AU56" s="1424" t="str">
        <f>AX52&amp;"-"&amp;AZ52</f>
        <v>-</v>
      </c>
      <c r="AV56" s="1423"/>
      <c r="AW56" s="1424" t="str">
        <f>AZ52&amp;"-"&amp;BB52</f>
        <v>-</v>
      </c>
      <c r="AX56" s="1423"/>
      <c r="AY56" s="1423"/>
      <c r="AZ56" s="1423"/>
      <c r="BA56" s="1423"/>
      <c r="BB56" s="1426" t="str">
        <f>BE52&amp;"-"&amp;BG52</f>
        <v>-</v>
      </c>
      <c r="BC56" s="2138"/>
      <c r="BE56" s="506"/>
      <c r="BF56" s="506" t="str">
        <f>IF(T56="","",T56)</f>
        <v/>
      </c>
      <c r="BG56" s="506"/>
      <c r="BH56" s="506"/>
    </row>
    <row customHeight="1" ht="11.25">
      <c r="A57" s="1393" t="s">
        <v>237</v>
      </c>
      <c r="B57" s="1393" t="s">
        <v>238</v>
      </c>
      <c r="C57" s="1393" t="s">
        <v>239</v>
      </c>
      <c r="D57" s="1393" t="s">
        <v>508</v>
      </c>
      <c r="E57" s="2108"/>
      <c r="F57" s="2108"/>
      <c r="G57" s="2108"/>
      <c r="H57" s="2108"/>
      <c r="I57" s="2110"/>
      <c r="J57" s="2109"/>
      <c r="K57" s="1393"/>
      <c r="L57" s="1394"/>
      <c r="P57" s="2111"/>
      <c r="Q57" s="2111"/>
      <c r="R57" s="352"/>
      <c r="S57" s="1308"/>
      <c r="T57" s="275" t="s">
        <v>462</v>
      </c>
      <c r="U57" s="367"/>
      <c r="V57" s="367"/>
      <c r="W57" s="367"/>
      <c r="X57" s="367"/>
      <c r="Y57" s="367"/>
      <c r="Z57" s="367"/>
      <c r="AA57" s="367"/>
      <c r="AB57" s="367"/>
      <c r="AC57" s="319"/>
      <c r="AD57" s="153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19"/>
      <c r="BC57" s="2139"/>
      <c r="BE57" s="506"/>
      <c r="BF57" s="506" t="str">
        <f>IF(T57="","",T57)</f>
        <v>Добавить строку</v>
      </c>
      <c r="BG57" s="506"/>
      <c r="BH57" s="506"/>
    </row>
    <row s="2612" customFormat="1" customHeight="1" ht="0">
      <c r="A58" s="1373" t="s">
        <v>237</v>
      </c>
      <c r="B58" s="1373" t="s">
        <v>238</v>
      </c>
      <c r="C58" s="1373" t="s">
        <v>239</v>
      </c>
      <c r="D58" s="1373" t="s">
        <v>508</v>
      </c>
      <c r="E58" s="2108"/>
      <c r="F58" s="2108"/>
      <c r="G58" s="2108"/>
      <c r="H58" s="2108"/>
      <c r="I58" s="2109"/>
      <c r="J58" s="1373"/>
      <c r="K58" s="1373"/>
      <c r="L58" s="1376"/>
      <c r="M58" s="516"/>
      <c r="N58" s="516"/>
      <c r="O58" s="516"/>
      <c r="P58" s="2111"/>
      <c r="Q58" s="1492"/>
      <c r="R58" s="352"/>
      <c r="S58" s="1416"/>
      <c r="T58" s="1417"/>
      <c r="U58" s="1418"/>
      <c r="V58" s="1418"/>
      <c r="W58" s="1418"/>
      <c r="X58" s="1418"/>
      <c r="Y58" s="1418"/>
      <c r="Z58" s="1418"/>
      <c r="AA58" s="1418"/>
      <c r="AB58" s="1418"/>
      <c r="AC58" s="1418"/>
      <c r="AD58" s="1418"/>
      <c r="AE58" s="1418"/>
      <c r="AF58" s="1418"/>
      <c r="AG58" s="1418"/>
      <c r="AH58" s="1418"/>
      <c r="AI58" s="1418"/>
      <c r="AJ58" s="1418"/>
      <c r="AK58" s="1418"/>
      <c r="AL58" s="1418"/>
      <c r="AM58" s="1418"/>
      <c r="AN58" s="1418"/>
      <c r="AO58" s="1418"/>
      <c r="AP58" s="1418"/>
      <c r="AQ58" s="1418"/>
      <c r="AR58" s="1418"/>
      <c r="AS58" s="1418"/>
      <c r="AT58" s="1418"/>
      <c r="AU58" s="1418"/>
      <c r="AV58" s="1418"/>
      <c r="AW58" s="1418"/>
      <c r="AX58" s="1418"/>
      <c r="AY58" s="1418"/>
      <c r="AZ58" s="1418"/>
      <c r="BA58" s="1418"/>
      <c r="BB58" s="1418"/>
      <c r="BC58" s="1419"/>
      <c r="BE58" s="506"/>
      <c r="BF58" s="506" t="str">
        <f>IF(T58="","",T58)</f>
        <v/>
      </c>
      <c r="BG58" s="506"/>
      <c r="BH58" s="506"/>
    </row>
    <row s="2612" customFormat="1" customHeight="1" ht="0">
      <c r="A59" s="1373" t="s">
        <v>237</v>
      </c>
      <c r="B59" s="1373" t="s">
        <v>238</v>
      </c>
      <c r="C59" s="1373" t="s">
        <v>239</v>
      </c>
      <c r="D59" s="1373" t="s">
        <v>508</v>
      </c>
      <c r="E59" s="2108"/>
      <c r="F59" s="2108"/>
      <c r="G59" s="2108"/>
      <c r="H59" s="2107"/>
      <c r="I59" s="1373"/>
      <c r="J59" s="1373"/>
      <c r="K59" s="1373"/>
      <c r="L59" s="1376"/>
      <c r="M59" s="1345"/>
      <c r="N59" s="1345"/>
      <c r="O59" s="524"/>
      <c r="P59" s="385"/>
      <c r="Q59" s="1374"/>
      <c r="R59" s="1431"/>
      <c r="S59" s="1416"/>
      <c r="T59" s="1417"/>
      <c r="U59" s="1418"/>
      <c r="V59" s="1418"/>
      <c r="W59" s="1418"/>
      <c r="X59" s="1418"/>
      <c r="Y59" s="1418"/>
      <c r="Z59" s="1418"/>
      <c r="AA59" s="1418"/>
      <c r="AB59" s="1418"/>
      <c r="AC59" s="1418"/>
      <c r="AD59" s="1418"/>
      <c r="AE59" s="1418"/>
      <c r="AF59" s="1418"/>
      <c r="AG59" s="1418"/>
      <c r="AH59" s="1418"/>
      <c r="AI59" s="1418"/>
      <c r="AJ59" s="1418"/>
      <c r="AK59" s="1418"/>
      <c r="AL59" s="1418"/>
      <c r="AM59" s="1418"/>
      <c r="AN59" s="1418"/>
      <c r="AO59" s="1418"/>
      <c r="AP59" s="1418"/>
      <c r="AQ59" s="1418"/>
      <c r="AR59" s="1418"/>
      <c r="AS59" s="1418"/>
      <c r="AT59" s="1418"/>
      <c r="AU59" s="1418"/>
      <c r="AV59" s="1418"/>
      <c r="AW59" s="1418"/>
      <c r="AX59" s="1418"/>
      <c r="AY59" s="1418"/>
      <c r="AZ59" s="1418"/>
      <c r="BA59" s="1418"/>
      <c r="BB59" s="1418"/>
      <c r="BC59" s="1419"/>
      <c r="BE59" s="506"/>
      <c r="BF59" s="506" t="str">
        <f>IF(T59="","",T59)</f>
        <v/>
      </c>
      <c r="BG59" s="506"/>
      <c r="BH59" s="506"/>
    </row>
    <row s="3274" customFormat="1" customHeight="1" ht="0">
      <c r="A60" s="1373" t="s">
        <v>237</v>
      </c>
      <c r="B60" s="1373" t="s">
        <v>238</v>
      </c>
      <c r="C60" s="1373" t="s">
        <v>239</v>
      </c>
      <c r="D60" s="1344"/>
      <c r="E60" s="2108"/>
      <c r="F60" s="2108"/>
      <c r="G60" s="2107"/>
      <c r="H60" s="1344"/>
      <c r="I60" s="1344"/>
      <c r="J60" s="1344"/>
      <c r="K60" s="1344"/>
      <c r="L60" s="1494"/>
      <c r="M60" s="1345"/>
      <c r="N60" s="1345"/>
      <c r="P60" s="1346"/>
      <c r="Q60" s="1347"/>
      <c r="R60" s="1346"/>
      <c r="S60" s="1352"/>
      <c r="T60" s="1355"/>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V60" s="1354"/>
      <c r="AW60" s="1354"/>
      <c r="AX60" s="1354"/>
      <c r="AY60" s="1354"/>
      <c r="AZ60" s="1354"/>
      <c r="BA60" s="1354"/>
      <c r="BB60" s="1354"/>
      <c r="BC60" s="1354"/>
      <c r="BE60" s="795"/>
      <c r="BF60" s="795" t="str">
        <f>IF(T60="","",T60)</f>
        <v/>
      </c>
      <c r="BG60" s="795"/>
      <c r="BH60" s="795"/>
    </row>
    <row s="3274" customFormat="1" customHeight="1" ht="0">
      <c r="A61" s="1373" t="s">
        <v>237</v>
      </c>
      <c r="B61" s="1373" t="s">
        <v>238</v>
      </c>
      <c r="C61" s="1344"/>
      <c r="D61" s="1344"/>
      <c r="E61" s="2108"/>
      <c r="F61" s="2107"/>
      <c r="G61" s="1344"/>
      <c r="H61" s="1344"/>
      <c r="I61" s="1344"/>
      <c r="J61" s="1344"/>
      <c r="K61" s="1344"/>
      <c r="L61" s="1494"/>
      <c r="M61" s="1351"/>
      <c r="N61" s="1351"/>
      <c r="P61" s="1346"/>
      <c r="Q61" s="1347"/>
      <c r="R61" s="1346"/>
      <c r="S61" s="1352"/>
      <c r="T61" s="1355" t="s">
        <v>168</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V61" s="1354"/>
      <c r="AW61" s="1354"/>
      <c r="AX61" s="1354"/>
      <c r="AY61" s="1354"/>
      <c r="AZ61" s="1354"/>
      <c r="BA61" s="1354"/>
      <c r="BB61" s="1354"/>
      <c r="BC61" s="1354"/>
      <c r="BE61" s="795"/>
      <c r="BF61" s="795" t="str">
        <f>IF(T61="","",T61)</f>
        <v>Добавить централизованную систему для дифференциации</v>
      </c>
      <c r="BG61" s="795"/>
      <c r="BH61" s="795"/>
    </row>
    <row s="2612" customFormat="1" customHeight="1" ht="0">
      <c r="A62" s="1373" t="s">
        <v>237</v>
      </c>
      <c r="B62" s="1373"/>
      <c r="C62" s="1373"/>
      <c r="D62" s="1373"/>
      <c r="E62" s="2107"/>
      <c r="F62" s="1373"/>
      <c r="G62" s="1373"/>
      <c r="H62" s="1373"/>
      <c r="I62" s="1373"/>
      <c r="J62" s="1373"/>
      <c r="K62" s="1373"/>
      <c r="L62" s="1376"/>
      <c r="M62" s="1351"/>
      <c r="N62" s="1351"/>
      <c r="O62" s="524"/>
      <c r="P62" s="385"/>
      <c r="Q62" s="1374"/>
      <c r="R62" s="385"/>
      <c r="S62" s="1352"/>
      <c r="T62" s="1355" t="s">
        <v>169</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V62" s="1354"/>
      <c r="AW62" s="1354"/>
      <c r="AX62" s="1354"/>
      <c r="AY62" s="1354"/>
      <c r="AZ62" s="1354"/>
      <c r="BA62" s="1354"/>
      <c r="BB62" s="1354"/>
      <c r="BC62" s="1354"/>
      <c r="BE62" s="506"/>
      <c r="BF62" s="506" t="str">
        <f>IF(T62="","",T62)</f>
        <v>Добавить территорию для дифференциации</v>
      </c>
      <c r="BG62" s="506"/>
      <c r="BH62" s="506"/>
    </row>
    <row s="3274" customFormat="1" customHeight="1" ht="0">
      <c r="A63" s="1344"/>
      <c r="B63" s="1344"/>
      <c r="C63" s="1344"/>
      <c r="D63" s="1344"/>
      <c r="E63" s="1373"/>
      <c r="F63" s="1344"/>
      <c r="G63" s="1344"/>
      <c r="H63" s="1344"/>
      <c r="I63" s="1344"/>
      <c r="J63" s="1344"/>
      <c r="K63" s="1344"/>
      <c r="L63" s="1494"/>
      <c r="M63" s="1351"/>
      <c r="N63" s="1351"/>
      <c r="P63" s="1346"/>
      <c r="Q63" s="1347"/>
      <c r="R63" s="1346"/>
      <c r="S63" s="1352"/>
      <c r="T63" s="1355" t="s">
        <v>170</v>
      </c>
      <c r="U63" s="1354"/>
      <c r="V63" s="1354"/>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R63" s="1354"/>
      <c r="AS63" s="1354"/>
      <c r="AT63" s="1354"/>
      <c r="AU63" s="1354"/>
      <c r="AV63" s="1354"/>
      <c r="AW63" s="1354"/>
      <c r="AX63" s="1354"/>
      <c r="AY63" s="1354"/>
      <c r="AZ63" s="1354"/>
      <c r="BA63" s="1354"/>
      <c r="BB63" s="1354"/>
      <c r="BC63" s="1354"/>
      <c r="BE63" s="795"/>
      <c r="BF63" s="795" t="str">
        <f>IF(T63="","",T63)</f>
        <v>Добавить наименование тарифа</v>
      </c>
      <c r="BG63" s="795"/>
      <c r="BH63" s="795"/>
    </row>
    <row customHeight="1" ht="11.25">
      <c r="M64" s="1168"/>
      <c r="N64" s="1168"/>
      <c r="O64" s="543"/>
      <c r="P64" s="1168"/>
      <c r="Q64" s="1168"/>
      <c r="R64" s="1163"/>
      <c r="S64" s="1163"/>
      <c r="BD64" s="1163"/>
      <c r="BE64" s="1163"/>
      <c r="BF64" s="1163"/>
      <c r="BG64" s="1163"/>
      <c r="BH64" s="1163"/>
    </row>
    <row customHeight="1" ht="18.75">
      <c r="O65" s="543"/>
      <c r="S65" s="127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c r="AV65" s="2106"/>
      <c r="AW65" s="2106"/>
      <c r="AX65" s="2106"/>
      <c r="AY65" s="2106"/>
      <c r="AZ65" s="2106"/>
      <c r="BA65" s="2106"/>
      <c r="BB65" s="2106"/>
      <c r="BC65" s="2106"/>
    </row>
    <row customHeight="1" ht="14.25">
      <c r="O66" s="543"/>
      <c r="T66" s="1479"/>
      <c r="U66" s="1479"/>
      <c r="V66" s="1479"/>
      <c r="W66" s="1479"/>
      <c r="X66" s="1479"/>
      <c r="Y66" s="1479"/>
      <c r="Z66" s="1479"/>
      <c r="AA66" s="1479"/>
      <c r="AB66" s="1479"/>
      <c r="AC66" s="1479"/>
      <c r="AD66" s="1479"/>
      <c r="AE66" s="1479"/>
      <c r="AF66" s="1479"/>
      <c r="AG66" s="1479"/>
      <c r="AH66" s="1479"/>
      <c r="AI66" s="1479"/>
      <c r="AJ66" s="1479"/>
      <c r="AK66" s="1479"/>
      <c r="AL66" s="1479"/>
      <c r="AM66" s="1479"/>
      <c r="AN66" s="1479"/>
      <c r="AO66" s="1479"/>
      <c r="AP66" s="1479"/>
      <c r="AQ66" s="1479"/>
      <c r="AR66" s="1479"/>
      <c r="AS66" s="1479"/>
      <c r="AT66" s="1479"/>
      <c r="AU66" s="1479"/>
      <c r="AV66" s="1479"/>
      <c r="AW66" s="1479"/>
      <c r="AX66" s="1479"/>
      <c r="AY66" s="1479"/>
      <c r="AZ66" s="1479"/>
      <c r="BA66" s="1479"/>
      <c r="BB66" s="1479"/>
      <c r="BC66" s="1479"/>
    </row>
    <row customHeight="1" ht="18.75">
      <c r="O67" s="543"/>
      <c r="S67" s="127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c r="AV67" s="2106"/>
      <c r="AW67" s="2106"/>
      <c r="AX67" s="2106"/>
      <c r="AY67" s="2106"/>
      <c r="AZ67" s="2106"/>
      <c r="BA67" s="2106"/>
      <c r="BB67" s="2106"/>
      <c r="BC67" s="2106"/>
    </row>
    <row customHeight="1" ht="14.25">
      <c r="O68" s="54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16DD32-DA9A-4E68-BCB4-F288D2209AF8}"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93" width="10.57421875" hidden="1"/>
    <col min="2" max="2" style="3293" width="11.00390625" hidden="1" customWidth="1"/>
    <col min="3" max="3" style="3293" width="10.57421875" hidden="1"/>
    <col min="4" max="4" style="3293" width="11.8515625" hidden="1" customWidth="1"/>
    <col min="5" max="5" style="3293" width="10.00390625" hidden="1" customWidth="1"/>
    <col min="6" max="6" style="3293" width="8.7109375" hidden="1" customWidth="1"/>
    <col min="7" max="7" style="3293" width="7.57421875" hidden="1" customWidth="1"/>
    <col min="8" max="8" style="3293" width="11.421875" hidden="1" customWidth="1"/>
    <col min="9" max="9" style="3293" width="14.140625" hidden="1" customWidth="1"/>
    <col min="10" max="10" style="3293" width="9.8515625" hidden="1" customWidth="1"/>
    <col min="11" max="11" style="3293" width="14.7109375" hidden="1" customWidth="1"/>
    <col min="12" max="12" style="4013" width="19.140625" hidden="1" customWidth="1"/>
    <col min="13" max="14" style="3295" width="12.28125" hidden="1" customWidth="1"/>
    <col min="15" max="15" style="3295" width="23.421875" hidden="1" customWidth="1"/>
    <col min="16" max="16" style="4018" width="3.7109375" customWidth="1"/>
    <col min="17" max="18" style="3372" width="3.7109375" customWidth="1"/>
    <col min="19" max="19" style="3373" width="12.7109375" customWidth="1"/>
    <col min="20" max="20" style="2941" width="35.7109375" customWidth="1"/>
    <col min="21" max="21" style="2941" width="0.140625" customWidth="1"/>
    <col min="22" max="24" style="2941" width="24.7109375" hidden="1" customWidth="1"/>
    <col min="25" max="25" style="2941" width="11.7109375" hidden="1" customWidth="1"/>
    <col min="26" max="26" style="2941" width="3.7109375" hidden="1" customWidth="1"/>
    <col min="27" max="27" style="2941" width="11.7109375" hidden="1" customWidth="1"/>
    <col min="28" max="28" style="2941" width="8.57421875" hidden="1" customWidth="1"/>
    <col min="29" max="31" style="2941" width="24.7109375" customWidth="1"/>
    <col min="32" max="32" style="2941" width="11.7109375" customWidth="1"/>
    <col min="33" max="33" style="2941" width="3.7109375" customWidth="1"/>
    <col min="34" max="34" style="2941" width="11.7109375" customWidth="1"/>
    <col min="35" max="35" style="2941" width="8.57421875" hidden="1" customWidth="1"/>
    <col min="36" max="36" style="2941" width="4.7109375" customWidth="1"/>
    <col min="37" max="37" style="2941" width="115.7109375" customWidth="1"/>
    <col min="38" max="39" style="2612" width="10.57421875"/>
    <col min="40" max="40" style="2612" width="11.140625" customWidth="1"/>
    <col min="41" max="42" style="2612"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122</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390</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391</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509</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510</v>
      </c>
      <c r="AM4" s="506"/>
      <c r="AN4" s="506" t="str">
        <f>IF(T4="","",T4)</f>
        <v>Наименование централизованной системы водоотведения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478</v>
      </c>
      <c r="U5" s="288"/>
      <c r="V5" s="2194"/>
      <c r="W5" s="2195"/>
      <c r="X5" s="2195"/>
      <c r="Y5" s="2195"/>
      <c r="Z5" s="2195"/>
      <c r="AA5" s="2195"/>
      <c r="AB5" s="2196"/>
      <c r="AC5" s="2197"/>
      <c r="AD5" s="2198"/>
      <c r="AE5" s="2198"/>
      <c r="AF5" s="2198"/>
      <c r="AG5" s="2198"/>
      <c r="AH5" s="2198"/>
      <c r="AI5" s="2198"/>
      <c r="AJ5" s="2199"/>
      <c r="AK5" s="1286" t="s">
        <v>479</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399</v>
      </c>
      <c r="P6" s="2111"/>
      <c r="Q6" s="2111">
        <v>1</v>
      </c>
      <c r="R6" s="353"/>
      <c r="S6" s="1523">
        <f>$J6</f>
      </c>
      <c r="T6" s="274" t="s">
        <v>400</v>
      </c>
      <c r="U6" s="288"/>
      <c r="V6" s="2095"/>
      <c r="W6" s="2096"/>
      <c r="X6" s="2096"/>
      <c r="Y6" s="2096"/>
      <c r="Z6" s="2096"/>
      <c r="AA6" s="2096"/>
      <c r="AB6" s="2097"/>
      <c r="AC6" s="2095"/>
      <c r="AD6" s="2096"/>
      <c r="AE6" s="2096"/>
      <c r="AF6" s="2096"/>
      <c r="AG6" s="2096"/>
      <c r="AH6" s="2096"/>
      <c r="AI6" s="2096"/>
      <c r="AJ6" s="2097"/>
      <c r="AK6" s="1337" t="s">
        <v>480</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61</v>
      </c>
      <c r="AA7" s="2112"/>
      <c r="AB7" s="1981" t="s">
        <v>61</v>
      </c>
      <c r="AC7" s="757"/>
      <c r="AD7" s="757"/>
      <c r="AE7" s="1285"/>
      <c r="AF7" s="2112"/>
      <c r="AG7" s="1981" t="s">
        <v>61</v>
      </c>
      <c r="AH7" s="2114"/>
      <c r="AI7" s="1981" t="s">
        <v>61</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481</v>
      </c>
      <c r="U9" s="367"/>
      <c r="V9" s="367"/>
      <c r="W9" s="367"/>
      <c r="X9" s="367"/>
      <c r="Y9" s="367"/>
      <c r="Z9" s="367"/>
      <c r="AA9" s="367"/>
      <c r="AB9" s="367"/>
      <c r="AC9" s="367"/>
      <c r="AD9" s="367"/>
      <c r="AE9" s="367"/>
      <c r="AF9" s="367"/>
      <c r="AG9" s="367"/>
      <c r="AH9" s="367"/>
      <c r="AI9" s="367"/>
      <c r="AJ9" s="367"/>
      <c r="AK9" s="1286" t="s">
        <v>482</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405</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483</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4"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168</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2"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169</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61</v>
      </c>
      <c r="AH15" s="2105"/>
      <c r="AI15" s="2104" t="s">
        <v>61</v>
      </c>
    </row>
    <row customHeight="1" ht="14.25" hidden="1">
      <c r="AC16" s="1390"/>
      <c r="AD16" s="1390"/>
      <c r="AE16" s="324" t="str">
        <f>AF15&amp;"-"&amp;AH15</f>
        <v>-</v>
      </c>
      <c r="AF16" s="2104"/>
      <c r="AG16" s="2104"/>
      <c r="AH16" s="2104"/>
      <c r="AI16" s="2104"/>
    </row>
    <row customHeight="1" ht="14.25" hidden="1">
      <c r="AI17" s="323"/>
    </row>
    <row s="3293" customFormat="1" customHeight="1" ht="22.5" hidden="1">
      <c r="L18" s="1508"/>
      <c r="M18" s="1392"/>
      <c r="N18" s="1392"/>
      <c r="O18" s="1397" t="s">
        <v>407</v>
      </c>
      <c r="P18" s="1392"/>
      <c r="Q18" s="1401"/>
      <c r="R18" s="1401"/>
      <c r="S18" s="735"/>
      <c r="Y18" s="1397"/>
      <c r="AA18" s="1397"/>
      <c r="AB18" s="1396"/>
      <c r="AF18" s="1397"/>
      <c r="AH18" s="1397"/>
      <c r="AI18" s="1396"/>
      <c r="AL18" s="517"/>
      <c r="AM18" s="517"/>
      <c r="AN18" s="517"/>
      <c r="AO18" s="517"/>
      <c r="AP18" s="517"/>
    </row>
    <row s="3293" customFormat="1" customHeight="1" ht="14.25" hidden="1">
      <c r="L19" s="1508"/>
      <c r="M19" s="1392"/>
      <c r="N19" s="1392"/>
      <c r="O19" s="1392"/>
      <c r="P19" s="1392"/>
      <c r="Q19" s="1401"/>
      <c r="R19" s="1401"/>
      <c r="S19" s="735"/>
      <c r="AB19" s="1396"/>
      <c r="AI19" s="1396"/>
      <c r="AL19" s="517"/>
      <c r="AM19" s="517"/>
      <c r="AN19" s="517"/>
      <c r="AO19" s="517"/>
      <c r="AP19" s="517"/>
    </row>
    <row s="3293" customFormat="1" customHeight="1" ht="12" hidden="1">
      <c r="L20" s="1508"/>
      <c r="M20" s="1392"/>
      <c r="N20" s="1392"/>
      <c r="O20" s="1394" t="s">
        <v>408</v>
      </c>
      <c r="P20" s="1392"/>
      <c r="Q20" s="1472"/>
      <c r="R20" s="1472"/>
      <c r="S20" s="735"/>
      <c r="T20" s="1168" t="s">
        <v>409</v>
      </c>
      <c r="Z20" s="172" t="s">
        <v>410</v>
      </c>
      <c r="AB20" s="172" t="s">
        <v>411</v>
      </c>
      <c r="AC20" s="1168" t="s">
        <v>409</v>
      </c>
      <c r="AG20" s="172" t="s">
        <v>412</v>
      </c>
      <c r="AI20" s="172" t="s">
        <v>411</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МУП г. Азова "Теплоэнерго"</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06"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Региональная служба по тарифам Ростовской области</v>
      </c>
      <c r="W27" s="2100"/>
      <c r="X27" s="2100"/>
      <c r="Y27" s="2100"/>
      <c r="Z27" s="2100"/>
      <c r="AA27" s="2100"/>
      <c r="AB27" s="322"/>
      <c r="AC27" s="2100" t="str">
        <f>IF(TITLE_NAME_OR_PR_CHANGE="",IF(TITLE_NAME_OR_PR="","",TITLE_NAME_OR_PR),TITLE_NAME_OR_PR_CHANGE)</f>
        <v>Региональная служба по тарифам Ростовской области</v>
      </c>
      <c r="AD27" s="2100"/>
      <c r="AE27" s="2100"/>
      <c r="AF27" s="2100"/>
      <c r="AG27" s="2100"/>
      <c r="AH27" s="2100"/>
      <c r="AI27" s="322"/>
      <c r="AJ27" s="322"/>
      <c r="AK27" s="268"/>
      <c r="AL27" s="368"/>
      <c r="AM27" s="368"/>
      <c r="AN27" s="368"/>
      <c r="AO27" s="368"/>
      <c r="AP27" s="368"/>
    </row>
    <row s="3306" customFormat="1" customHeight="1" ht="18.75">
      <c r="A28" s="1398"/>
      <c r="B28" s="1398"/>
      <c r="C28" s="1398"/>
      <c r="D28" s="1398"/>
      <c r="E28" s="1398"/>
      <c r="F28" s="1398"/>
      <c r="G28" s="1398"/>
      <c r="H28" s="1398"/>
      <c r="I28" s="1398"/>
      <c r="J28" s="1398"/>
      <c r="K28" s="1398"/>
      <c r="L28" s="1399"/>
      <c r="M28" s="1398"/>
      <c r="N28" s="1398"/>
      <c r="O28" s="1398"/>
      <c r="S28" s="2098" t="s">
        <v>413</v>
      </c>
      <c r="T28" s="2098"/>
      <c r="U28" s="1402"/>
      <c r="V28" s="2099" t="str">
        <f>IF(TITLE_DATE_PR_CHANGE="",IF(TITLE_DATE_PR="","",TITLE_DATE_PR),TITLE_DATE_PR_CHANGE)</f>
        <v>45245.61800925926</v>
      </c>
      <c r="W28" s="2099"/>
      <c r="X28" s="2099"/>
      <c r="Y28" s="2099"/>
      <c r="Z28" s="2099"/>
      <c r="AA28" s="2099"/>
      <c r="AB28" s="322"/>
      <c r="AC28" s="2099" t="str">
        <f>IF(TITLE_DATE_PR_CHANGE="",IF(TITLE_DATE_PR="","",TITLE_DATE_PR),TITLE_DATE_PR_CHANGE)</f>
        <v>45245.61800925926</v>
      </c>
      <c r="AD28" s="2099"/>
      <c r="AE28" s="2099"/>
      <c r="AF28" s="2099"/>
      <c r="AG28" s="2099"/>
      <c r="AH28" s="2099"/>
      <c r="AI28" s="322"/>
      <c r="AJ28" s="322"/>
      <c r="AK28" s="268"/>
      <c r="AL28" s="368"/>
      <c r="AM28" s="368"/>
      <c r="AN28" s="368"/>
      <c r="AO28" s="368"/>
      <c r="AP28" s="368"/>
    </row>
    <row s="3306" customFormat="1" customHeight="1" ht="18.75">
      <c r="A29" s="1398"/>
      <c r="B29" s="1398"/>
      <c r="C29" s="1398"/>
      <c r="D29" s="1398"/>
      <c r="E29" s="1398"/>
      <c r="F29" s="1398"/>
      <c r="G29" s="1398"/>
      <c r="H29" s="1398"/>
      <c r="I29" s="1398"/>
      <c r="J29" s="1398"/>
      <c r="K29" s="1398"/>
      <c r="L29" s="1399"/>
      <c r="M29" s="1398"/>
      <c r="N29" s="1398"/>
      <c r="O29" s="1398"/>
      <c r="S29" s="2098" t="s">
        <v>414</v>
      </c>
      <c r="T29" s="2098"/>
      <c r="U29" s="1402"/>
      <c r="V29" s="2100" t="str">
        <f>IF(TITLE_NUMBER_PR_CHANGE="",IF(TITLE_NUMBER_PR="","",TITLE_NUMBER_PR),TITLE_NUMBER_PR_CHANGE)</f>
        <v>550</v>
      </c>
      <c r="W29" s="2100"/>
      <c r="X29" s="2100"/>
      <c r="Y29" s="2100"/>
      <c r="Z29" s="2100"/>
      <c r="AA29" s="2100"/>
      <c r="AB29" s="322"/>
      <c r="AC29" s="2100" t="str">
        <f>IF(TITLE_NUMBER_PR_CHANGE="",IF(TITLE_NUMBER_PR="","",TITLE_NUMBER_PR),TITLE_NUMBER_PR_CHANGE)</f>
        <v>550</v>
      </c>
      <c r="AD29" s="2100"/>
      <c r="AE29" s="2100"/>
      <c r="AF29" s="2100"/>
      <c r="AG29" s="2100"/>
      <c r="AH29" s="2100"/>
      <c r="AI29" s="322"/>
      <c r="AJ29" s="322"/>
      <c r="AK29" s="268"/>
      <c r="AL29" s="368"/>
      <c r="AM29" s="368"/>
      <c r="AN29" s="368"/>
      <c r="AO29" s="368"/>
      <c r="AP29" s="368"/>
    </row>
    <row s="3306"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https://rst.donland.ru</v>
      </c>
      <c r="W30" s="2100"/>
      <c r="X30" s="2100"/>
      <c r="Y30" s="2100"/>
      <c r="Z30" s="2100"/>
      <c r="AA30" s="2100"/>
      <c r="AB30" s="322"/>
      <c r="AC30" s="2100" t="str">
        <f>IF(TITLE_IST_PUB_CHANGE="",IF(TITLE_IST_PUB="","",TITLE_IST_PUB),TITLE_IST_PUB_CHANGE)</f>
        <v>https://rst.donland.ru</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06" customFormat="1" customHeight="1" ht="18.75" hidden="1">
      <c r="A32" s="1398"/>
      <c r="B32" s="1398"/>
      <c r="C32" s="1398"/>
      <c r="D32" s="1398"/>
      <c r="E32" s="1398"/>
      <c r="F32" s="1398"/>
      <c r="G32" s="1398"/>
      <c r="H32" s="1398"/>
      <c r="I32" s="1398"/>
      <c r="J32" s="1398"/>
      <c r="K32" s="1398"/>
      <c r="L32" s="1399"/>
      <c r="M32" s="1398"/>
      <c r="N32" s="1398"/>
      <c r="O32" s="1398"/>
      <c r="S32" s="2098" t="s">
        <v>415</v>
      </c>
      <c r="T32" s="2098"/>
      <c r="U32" s="1402"/>
      <c r="V32" s="2099" t="str">
        <f>IF(TITLE_DATE_PR_CHANGE="",IF(TITLE_DATE_PR="","",TITLE_DATE_PR),TITLE_DATE_PR_CHANGE)</f>
        <v>45245.61800925926</v>
      </c>
      <c r="W32" s="2099"/>
      <c r="X32" s="2099"/>
      <c r="Y32" s="2099"/>
      <c r="Z32" s="2099"/>
      <c r="AA32" s="2099"/>
      <c r="AB32" s="322"/>
      <c r="AC32" s="2099" t="str">
        <f>IF(TITLE_DATE_PR_CHANGE="",IF(TITLE_DATE_PR="","",TITLE_DATE_PR),TITLE_DATE_PR_CHANGE)</f>
        <v>45245.61800925926</v>
      </c>
      <c r="AD32" s="2099"/>
      <c r="AE32" s="2099"/>
      <c r="AF32" s="2099"/>
      <c r="AG32" s="2099"/>
      <c r="AH32" s="2099"/>
      <c r="AI32" s="322"/>
      <c r="AJ32" s="322"/>
      <c r="AK32" s="268"/>
      <c r="AL32" s="368"/>
      <c r="AM32" s="368"/>
      <c r="AN32" s="368"/>
      <c r="AO32" s="368"/>
      <c r="AP32" s="368"/>
    </row>
    <row s="3306" customFormat="1" customHeight="1" ht="18.75" hidden="1">
      <c r="A33" s="1398"/>
      <c r="B33" s="1398"/>
      <c r="C33" s="1398"/>
      <c r="D33" s="1398"/>
      <c r="E33" s="1398"/>
      <c r="F33" s="1398"/>
      <c r="G33" s="1398"/>
      <c r="H33" s="1398"/>
      <c r="I33" s="1398"/>
      <c r="J33" s="1398"/>
      <c r="K33" s="1398"/>
      <c r="L33" s="1399"/>
      <c r="M33" s="1398"/>
      <c r="N33" s="1398"/>
      <c r="O33" s="1398"/>
      <c r="S33" s="2098" t="s">
        <v>416</v>
      </c>
      <c r="T33" s="2098"/>
      <c r="U33" s="1402"/>
      <c r="V33" s="2100" t="str">
        <f>IF(TITLE_NUMBER_PR_CHANGE="",IF(TITLE_NUMBER_PR="","",TITLE_NUMBER_PR),TITLE_NUMBER_PR_CHANGE)</f>
        <v>550</v>
      </c>
      <c r="W33" s="2100"/>
      <c r="X33" s="2100"/>
      <c r="Y33" s="2100"/>
      <c r="Z33" s="2100"/>
      <c r="AA33" s="2100"/>
      <c r="AB33" s="322"/>
      <c r="AC33" s="2100" t="str">
        <f>IF(TITLE_NUMBER_PR_CHANGE="",IF(TITLE_NUMBER_PR="","",TITLE_NUMBER_PR),TITLE_NUMBER_PR_CHANGE)</f>
        <v>550</v>
      </c>
      <c r="AD33" s="2100"/>
      <c r="AE33" s="2100"/>
      <c r="AF33" s="2100"/>
      <c r="AG33" s="2100"/>
      <c r="AH33" s="2100"/>
      <c r="AI33" s="322"/>
      <c r="AJ33" s="322"/>
      <c r="AK33" s="268"/>
      <c r="AL33" s="368"/>
      <c r="AM33" s="368"/>
      <c r="AN33" s="368"/>
      <c r="AO33" s="368"/>
      <c r="AP33" s="368"/>
    </row>
    <row s="3306"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417</v>
      </c>
      <c r="AC34" s="322"/>
      <c r="AD34" s="322"/>
      <c r="AE34" s="322"/>
      <c r="AF34" s="322"/>
      <c r="AG34" s="322"/>
      <c r="AH34" s="322"/>
      <c r="AI34" s="266" t="s">
        <v>417</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291</v>
      </c>
      <c r="T36" s="1971"/>
      <c r="U36" s="1971"/>
      <c r="V36" s="1971"/>
      <c r="W36" s="1971"/>
      <c r="X36" s="1971"/>
      <c r="Y36" s="1971"/>
      <c r="Z36" s="1971"/>
      <c r="AA36" s="1971"/>
      <c r="AB36" s="1971"/>
      <c r="AC36" s="1971"/>
      <c r="AD36" s="1971"/>
      <c r="AE36" s="1971"/>
      <c r="AF36" s="1971"/>
      <c r="AG36" s="1971"/>
      <c r="AH36" s="1971"/>
      <c r="AI36" s="1971"/>
      <c r="AJ36" s="1971"/>
      <c r="AK36" s="1971" t="s">
        <v>292</v>
      </c>
    </row>
    <row customHeight="1" ht="14.25">
      <c r="Q37" s="377"/>
      <c r="R37" s="377"/>
      <c r="S37" s="2125" t="s">
        <v>87</v>
      </c>
      <c r="T37" s="2062" t="s">
        <v>418</v>
      </c>
      <c r="U37" s="289"/>
      <c r="V37" s="2126" t="s">
        <v>419</v>
      </c>
      <c r="W37" s="2127"/>
      <c r="X37" s="2127"/>
      <c r="Y37" s="2127"/>
      <c r="Z37" s="2127"/>
      <c r="AA37" s="2128"/>
      <c r="AB37" s="2129" t="s">
        <v>420</v>
      </c>
      <c r="AC37" s="2126" t="s">
        <v>419</v>
      </c>
      <c r="AD37" s="2127"/>
      <c r="AE37" s="2127"/>
      <c r="AF37" s="2127"/>
      <c r="AG37" s="2127"/>
      <c r="AH37" s="2128"/>
      <c r="AI37" s="2129" t="s">
        <v>421</v>
      </c>
      <c r="AJ37" s="2132" t="s">
        <v>422</v>
      </c>
      <c r="AK37" s="1971"/>
    </row>
    <row customHeight="1" ht="33.75">
      <c r="Q38" s="377"/>
      <c r="R38" s="377"/>
      <c r="S38" s="2125"/>
      <c r="T38" s="2062"/>
      <c r="U38" s="1038"/>
      <c r="V38" s="1513" t="s">
        <v>484</v>
      </c>
      <c r="W38" s="2118" t="s">
        <v>425</v>
      </c>
      <c r="X38" s="2120"/>
      <c r="Y38" s="2118" t="s">
        <v>426</v>
      </c>
      <c r="Z38" s="2119"/>
      <c r="AA38" s="2120"/>
      <c r="AB38" s="2130"/>
      <c r="AC38" s="1513" t="s">
        <v>484</v>
      </c>
      <c r="AD38" s="2118" t="s">
        <v>425</v>
      </c>
      <c r="AE38" s="2120"/>
      <c r="AF38" s="2118" t="s">
        <v>426</v>
      </c>
      <c r="AG38" s="2119"/>
      <c r="AH38" s="2120"/>
      <c r="AI38" s="2130"/>
      <c r="AJ38" s="2133"/>
      <c r="AK38" s="1971"/>
    </row>
    <row customHeight="1" ht="86.25">
      <c r="A39" s="1400"/>
      <c r="B39" s="1400" t="s">
        <v>134</v>
      </c>
      <c r="C39" s="1400" t="s">
        <v>135</v>
      </c>
      <c r="D39" s="1400" t="s">
        <v>136</v>
      </c>
      <c r="E39" s="1394" t="s">
        <v>427</v>
      </c>
      <c r="F39" s="1394" t="s">
        <v>428</v>
      </c>
      <c r="G39" s="1394" t="s">
        <v>429</v>
      </c>
      <c r="H39" s="1394"/>
      <c r="I39" s="1394" t="s">
        <v>485</v>
      </c>
      <c r="J39" s="1394" t="s">
        <v>432</v>
      </c>
      <c r="K39" s="1394" t="s">
        <v>486</v>
      </c>
      <c r="L39" s="1394" t="s">
        <v>408</v>
      </c>
      <c r="Q39" s="377"/>
      <c r="R39" s="377"/>
      <c r="S39" s="2125"/>
      <c r="T39" s="2062"/>
      <c r="U39" s="290"/>
      <c r="V39" s="1513" t="s">
        <v>511</v>
      </c>
      <c r="W39" s="1237" t="s">
        <v>512</v>
      </c>
      <c r="X39" s="1237" t="s">
        <v>489</v>
      </c>
      <c r="Y39" s="1519" t="s">
        <v>436</v>
      </c>
      <c r="Z39" s="2121" t="s">
        <v>437</v>
      </c>
      <c r="AA39" s="2122"/>
      <c r="AB39" s="2131"/>
      <c r="AC39" s="1513" t="s">
        <v>511</v>
      </c>
      <c r="AD39" s="1237" t="s">
        <v>512</v>
      </c>
      <c r="AE39" s="1237" t="s">
        <v>489</v>
      </c>
      <c r="AF39" s="1519" t="s">
        <v>436</v>
      </c>
      <c r="AG39" s="2121" t="s">
        <v>437</v>
      </c>
      <c r="AH39" s="2122"/>
      <c r="AI39" s="2131"/>
      <c r="AJ39" s="2134"/>
      <c r="AK39" s="1971"/>
    </row>
    <row s="2611"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108</v>
      </c>
      <c r="T40" s="1281" t="s">
        <v>109</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257</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122</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257</v>
      </c>
      <c r="B42" s="1393" t="s">
        <v>258</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390</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391</v>
      </c>
      <c r="AM42" s="506"/>
      <c r="AN42" s="506" t="str">
        <f>IF(T42="","",T42)</f>
        <v>Территория действия тарифа</v>
      </c>
      <c r="AO42" s="506"/>
      <c r="AP42" s="506"/>
    </row>
    <row customHeight="1" ht="23.25">
      <c r="A43" s="1393" t="s">
        <v>257</v>
      </c>
      <c r="B43" s="1393" t="s">
        <v>258</v>
      </c>
      <c r="C43" s="1393" t="s">
        <v>259</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509</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510</v>
      </c>
      <c r="AM43" s="506"/>
      <c r="AN43" s="506" t="str">
        <f>IF(T43="","",T43)</f>
        <v>Наименование централизованной системы водоотведения</v>
      </c>
      <c r="AO43" s="506"/>
      <c r="AP43" s="506"/>
    </row>
    <row customHeight="1" ht="23.25">
      <c r="A44" s="1393" t="s">
        <v>257</v>
      </c>
      <c r="B44" s="1393" t="s">
        <v>258</v>
      </c>
      <c r="C44" s="1393" t="s">
        <v>259</v>
      </c>
      <c r="D44" s="1393" t="s">
        <v>513</v>
      </c>
      <c r="E44" s="2108"/>
      <c r="F44" s="2108"/>
      <c r="G44" s="2108"/>
      <c r="H44" s="2108"/>
      <c r="I44" s="2109" t="str">
        <f>S43&amp;".1"</f>
        <v>...1</v>
      </c>
      <c r="J44" s="1393"/>
      <c r="K44" s="1393"/>
      <c r="L44" s="1394"/>
      <c r="P44" s="2111">
        <v>1</v>
      </c>
      <c r="Q44" s="1511"/>
      <c r="R44" s="352"/>
      <c r="S44" s="1523" t="str">
        <f>$I44</f>
        <v>...1</v>
      </c>
      <c r="T44" s="273" t="s">
        <v>478</v>
      </c>
      <c r="U44" s="288"/>
      <c r="V44" s="2194"/>
      <c r="W44" s="2195"/>
      <c r="X44" s="2195"/>
      <c r="Y44" s="2195"/>
      <c r="Z44" s="2195"/>
      <c r="AA44" s="2195"/>
      <c r="AB44" s="2196"/>
      <c r="AC44" s="2197"/>
      <c r="AD44" s="2198"/>
      <c r="AE44" s="2198"/>
      <c r="AF44" s="2198"/>
      <c r="AG44" s="2198"/>
      <c r="AH44" s="2198"/>
      <c r="AI44" s="2198"/>
      <c r="AJ44" s="2199"/>
      <c r="AK44" s="1286" t="s">
        <v>479</v>
      </c>
      <c r="AM44" s="506"/>
      <c r="AN44" s="506" t="str">
        <f>IF(T44="","",T44)</f>
        <v>Наименование признака дифференциации</v>
      </c>
      <c r="AO44" s="506"/>
      <c r="AP44" s="506"/>
    </row>
    <row customHeight="1" ht="23.25">
      <c r="A45" s="1393" t="s">
        <v>257</v>
      </c>
      <c r="B45" s="1393" t="s">
        <v>258</v>
      </c>
      <c r="C45" s="1393" t="s">
        <v>259</v>
      </c>
      <c r="D45" s="1393" t="s">
        <v>513</v>
      </c>
      <c r="E45" s="2108"/>
      <c r="F45" s="2108"/>
      <c r="G45" s="2108"/>
      <c r="H45" s="2108"/>
      <c r="I45" s="2110"/>
      <c r="J45" s="2109" t="str">
        <f>I44&amp;".1"</f>
        <v>...1.1</v>
      </c>
      <c r="K45" s="1393"/>
      <c r="L45" s="1394" t="s">
        <v>399</v>
      </c>
      <c r="P45" s="2111"/>
      <c r="Q45" s="2111">
        <v>1</v>
      </c>
      <c r="R45" s="353"/>
      <c r="S45" s="1523" t="str">
        <f>$J45</f>
        <v>...1.1</v>
      </c>
      <c r="T45" s="274" t="s">
        <v>400</v>
      </c>
      <c r="U45" s="288"/>
      <c r="V45" s="2095"/>
      <c r="W45" s="2096"/>
      <c r="X45" s="2096"/>
      <c r="Y45" s="2096"/>
      <c r="Z45" s="2096"/>
      <c r="AA45" s="2096"/>
      <c r="AB45" s="2097"/>
      <c r="AC45" s="2095"/>
      <c r="AD45" s="2096"/>
      <c r="AE45" s="2096"/>
      <c r="AF45" s="2096"/>
      <c r="AG45" s="2096"/>
      <c r="AH45" s="2096"/>
      <c r="AI45" s="2096"/>
      <c r="AJ45" s="2097"/>
      <c r="AK45" s="1337" t="s">
        <v>480</v>
      </c>
      <c r="AM45" s="506"/>
      <c r="AN45" s="506" t="str">
        <f>IF(T45="","",T45)</f>
        <v>Группа потребителей</v>
      </c>
      <c r="AO45" s="506"/>
      <c r="AP45" s="506"/>
    </row>
    <row customHeight="1" ht="23.25">
      <c r="A46" s="1393" t="s">
        <v>257</v>
      </c>
      <c r="B46" s="1393" t="s">
        <v>258</v>
      </c>
      <c r="C46" s="1393" t="s">
        <v>259</v>
      </c>
      <c r="D46" s="1393" t="s">
        <v>513</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61</v>
      </c>
      <c r="AA46" s="2105"/>
      <c r="AB46" s="2104" t="s">
        <v>61</v>
      </c>
      <c r="AC46" s="757"/>
      <c r="AD46" s="757"/>
      <c r="AE46" s="1285"/>
      <c r="AF46" s="2112"/>
      <c r="AG46" s="1981" t="s">
        <v>61</v>
      </c>
      <c r="AH46" s="2114"/>
      <c r="AI46" s="1981" t="s">
        <v>56</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257</v>
      </c>
      <c r="B47" s="1393" t="s">
        <v>258</v>
      </c>
      <c r="C47" s="1393" t="s">
        <v>259</v>
      </c>
      <c r="D47" s="1393" t="s">
        <v>513</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257</v>
      </c>
      <c r="B48" s="1393" t="s">
        <v>258</v>
      </c>
      <c r="C48" s="1393" t="s">
        <v>259</v>
      </c>
      <c r="D48" s="1393" t="s">
        <v>513</v>
      </c>
      <c r="E48" s="2108"/>
      <c r="F48" s="2108"/>
      <c r="G48" s="2108"/>
      <c r="H48" s="2108"/>
      <c r="I48" s="2110"/>
      <c r="J48" s="2109"/>
      <c r="K48" s="1393"/>
      <c r="L48" s="1394"/>
      <c r="P48" s="2111"/>
      <c r="Q48" s="2111"/>
      <c r="R48" s="352"/>
      <c r="S48" s="1308"/>
      <c r="T48" s="275" t="s">
        <v>481</v>
      </c>
      <c r="U48" s="367"/>
      <c r="V48" s="367"/>
      <c r="W48" s="367"/>
      <c r="X48" s="367"/>
      <c r="Y48" s="367"/>
      <c r="Z48" s="367"/>
      <c r="AA48" s="367"/>
      <c r="AB48" s="367"/>
      <c r="AC48" s="367"/>
      <c r="AD48" s="367"/>
      <c r="AE48" s="367"/>
      <c r="AF48" s="367"/>
      <c r="AG48" s="367"/>
      <c r="AH48" s="367"/>
      <c r="AI48" s="367"/>
      <c r="AJ48" s="367"/>
      <c r="AK48" s="1286" t="s">
        <v>482</v>
      </c>
      <c r="AM48" s="506"/>
      <c r="AN48" s="506" t="str">
        <f>IF(T48="","",T48)</f>
        <v>Добавить значение признака дифференциации</v>
      </c>
      <c r="AO48" s="506"/>
      <c r="AP48" s="506"/>
    </row>
    <row customHeight="1" ht="21">
      <c r="A49" s="1393" t="s">
        <v>257</v>
      </c>
      <c r="B49" s="1393" t="s">
        <v>258</v>
      </c>
      <c r="C49" s="1393" t="s">
        <v>259</v>
      </c>
      <c r="D49" s="1393" t="s">
        <v>513</v>
      </c>
      <c r="E49" s="2108"/>
      <c r="F49" s="2108"/>
      <c r="G49" s="2108"/>
      <c r="H49" s="2108"/>
      <c r="I49" s="2109"/>
      <c r="J49" s="1393"/>
      <c r="K49" s="1393"/>
      <c r="L49" s="1394"/>
      <c r="P49" s="2111"/>
      <c r="Q49" s="1511"/>
      <c r="R49" s="352"/>
      <c r="S49" s="1308"/>
      <c r="T49" s="364" t="s">
        <v>405</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257</v>
      </c>
      <c r="B50" s="1393" t="s">
        <v>258</v>
      </c>
      <c r="C50" s="1393" t="s">
        <v>259</v>
      </c>
      <c r="D50" s="1393" t="s">
        <v>513</v>
      </c>
      <c r="E50" s="2108"/>
      <c r="F50" s="2108"/>
      <c r="G50" s="2108"/>
      <c r="H50" s="2107"/>
      <c r="I50" s="1393"/>
      <c r="J50" s="1393"/>
      <c r="K50" s="1393"/>
      <c r="L50" s="1394"/>
      <c r="M50" s="1395"/>
      <c r="N50" s="1395"/>
      <c r="O50" s="543"/>
      <c r="P50" s="356"/>
      <c r="Q50" s="376"/>
      <c r="R50" s="351"/>
      <c r="S50" s="1308"/>
      <c r="T50" s="372" t="s">
        <v>483</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4" customFormat="1" customHeight="1" ht="0">
      <c r="A51" s="1373" t="s">
        <v>257</v>
      </c>
      <c r="B51" s="1373" t="s">
        <v>258</v>
      </c>
      <c r="C51" s="1344"/>
      <c r="D51" s="1344"/>
      <c r="E51" s="2108"/>
      <c r="F51" s="2107"/>
      <c r="G51" s="1344"/>
      <c r="H51" s="1344"/>
      <c r="I51" s="1344"/>
      <c r="J51" s="1344"/>
      <c r="K51" s="1344"/>
      <c r="L51" s="1524"/>
      <c r="M51" s="1351"/>
      <c r="N51" s="1351"/>
      <c r="P51" s="1346"/>
      <c r="Q51" s="1347"/>
      <c r="R51" s="1346"/>
      <c r="S51" s="1352"/>
      <c r="T51" s="1355" t="s">
        <v>168</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2" customFormat="1" customHeight="1" ht="0">
      <c r="A52" s="1373" t="s">
        <v>257</v>
      </c>
      <c r="B52" s="1373"/>
      <c r="C52" s="1373"/>
      <c r="D52" s="1373"/>
      <c r="E52" s="2107"/>
      <c r="F52" s="1373"/>
      <c r="G52" s="1373"/>
      <c r="H52" s="1373"/>
      <c r="I52" s="1373"/>
      <c r="J52" s="1373"/>
      <c r="K52" s="1373"/>
      <c r="L52" s="1376"/>
      <c r="M52" s="1351"/>
      <c r="N52" s="1351"/>
      <c r="O52" s="524"/>
      <c r="P52" s="385"/>
      <c r="Q52" s="1374"/>
      <c r="R52" s="385"/>
      <c r="S52" s="1352"/>
      <c r="T52" s="1355" t="s">
        <v>169</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4"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170</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4BBA28-6D35-46FE-6338-AC2DBD266F18}"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93" width="10.57421875" hidden="1"/>
    <col min="2" max="2" style="3293" width="11.00390625" hidden="1" customWidth="1"/>
    <col min="3" max="3" style="3293" width="10.57421875" hidden="1"/>
    <col min="4" max="4" style="3293" width="11.8515625" hidden="1" customWidth="1"/>
    <col min="5" max="5" style="3293" width="10.00390625" hidden="1" customWidth="1"/>
    <col min="6" max="6" style="3293" width="8.7109375" hidden="1" customWidth="1"/>
    <col min="7" max="7" style="3293" width="7.57421875" hidden="1" customWidth="1"/>
    <col min="8" max="8" style="3293" width="11.421875" hidden="1" customWidth="1"/>
    <col min="9" max="9" style="3293" width="14.140625" hidden="1" customWidth="1"/>
    <col min="10" max="10" style="3293" width="9.8515625" hidden="1" customWidth="1"/>
    <col min="11" max="11" style="3293" width="14.7109375" hidden="1" customWidth="1"/>
    <col min="12" max="12" style="4013" width="19.140625" hidden="1" customWidth="1"/>
    <col min="13" max="14" style="3295" width="12.28125" hidden="1" customWidth="1"/>
    <col min="15" max="15" style="3295" width="23.421875" hidden="1" customWidth="1"/>
    <col min="16" max="16" style="4018" width="3.7109375" customWidth="1"/>
    <col min="17" max="18" style="3372" width="3.7109375" customWidth="1"/>
    <col min="19" max="19" style="3373" width="12.7109375" customWidth="1"/>
    <col min="20" max="20" style="2941" width="35.7109375" customWidth="1"/>
    <col min="21" max="21" style="2941" width="0.140625" customWidth="1"/>
    <col min="22" max="24" style="2941" width="24.7109375" hidden="1" customWidth="1"/>
    <col min="25" max="25" style="2941" width="11.7109375" hidden="1" customWidth="1"/>
    <col min="26" max="26" style="2941" width="3.7109375" hidden="1" customWidth="1"/>
    <col min="27" max="27" style="2941" width="11.7109375" hidden="1" customWidth="1"/>
    <col min="28" max="28" style="2941" width="8.57421875" hidden="1" customWidth="1"/>
    <col min="29" max="31" style="2941" width="24.7109375" customWidth="1"/>
    <col min="32" max="32" style="2941" width="11.7109375" customWidth="1"/>
    <col min="33" max="33" style="2941" width="3.7109375" customWidth="1"/>
    <col min="34" max="34" style="2941" width="11.7109375" customWidth="1"/>
    <col min="35" max="35" style="2941" width="8.57421875" hidden="1" customWidth="1"/>
    <col min="36" max="36" style="2941" width="4.7109375" customWidth="1"/>
    <col min="37" max="37" style="2941" width="115.7109375" customWidth="1"/>
    <col min="38" max="39" style="2612" width="10.57421875"/>
    <col min="40" max="40" style="2612" width="11.140625" customWidth="1"/>
    <col min="41" max="42" style="2612"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122</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390</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391</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509</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510</v>
      </c>
      <c r="AM4" s="506"/>
      <c r="AN4" s="506" t="str">
        <f>IF(T4="","",T4)</f>
        <v>Наименование централизованной системы водоотведения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478</v>
      </c>
      <c r="U5" s="288"/>
      <c r="V5" s="2194"/>
      <c r="W5" s="2195"/>
      <c r="X5" s="2195"/>
      <c r="Y5" s="2195"/>
      <c r="Z5" s="2195"/>
      <c r="AA5" s="2195"/>
      <c r="AB5" s="2196"/>
      <c r="AC5" s="2197"/>
      <c r="AD5" s="2198"/>
      <c r="AE5" s="2198"/>
      <c r="AF5" s="2198"/>
      <c r="AG5" s="2198"/>
      <c r="AH5" s="2198"/>
      <c r="AI5" s="2198"/>
      <c r="AJ5" s="2199"/>
      <c r="AK5" s="1286" t="s">
        <v>479</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399</v>
      </c>
      <c r="P6" s="2111"/>
      <c r="Q6" s="2111">
        <v>1</v>
      </c>
      <c r="R6" s="353"/>
      <c r="S6" s="1523">
        <f>$J6</f>
      </c>
      <c r="T6" s="274" t="s">
        <v>400</v>
      </c>
      <c r="U6" s="288"/>
      <c r="V6" s="2095"/>
      <c r="W6" s="2096"/>
      <c r="X6" s="2096"/>
      <c r="Y6" s="2096"/>
      <c r="Z6" s="2096"/>
      <c r="AA6" s="2096"/>
      <c r="AB6" s="2097"/>
      <c r="AC6" s="2095"/>
      <c r="AD6" s="2096"/>
      <c r="AE6" s="2096"/>
      <c r="AF6" s="2096"/>
      <c r="AG6" s="2096"/>
      <c r="AH6" s="2096"/>
      <c r="AI6" s="2096"/>
      <c r="AJ6" s="2097"/>
      <c r="AK6" s="1337" t="s">
        <v>480</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61</v>
      </c>
      <c r="AA7" s="2112"/>
      <c r="AB7" s="1981" t="s">
        <v>61</v>
      </c>
      <c r="AC7" s="757"/>
      <c r="AD7" s="757"/>
      <c r="AE7" s="1285"/>
      <c r="AF7" s="2112"/>
      <c r="AG7" s="1981" t="s">
        <v>61</v>
      </c>
      <c r="AH7" s="2114"/>
      <c r="AI7" s="1981" t="s">
        <v>61</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481</v>
      </c>
      <c r="U9" s="367"/>
      <c r="V9" s="367"/>
      <c r="W9" s="367"/>
      <c r="X9" s="367"/>
      <c r="Y9" s="367"/>
      <c r="Z9" s="367"/>
      <c r="AA9" s="367"/>
      <c r="AB9" s="367"/>
      <c r="AC9" s="367"/>
      <c r="AD9" s="367"/>
      <c r="AE9" s="367"/>
      <c r="AF9" s="367"/>
      <c r="AG9" s="367"/>
      <c r="AH9" s="367"/>
      <c r="AI9" s="367"/>
      <c r="AJ9" s="367"/>
      <c r="AK9" s="1286" t="s">
        <v>482</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405</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483</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4"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168</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2"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169</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61</v>
      </c>
      <c r="AH15" s="2105"/>
      <c r="AI15" s="2104" t="s">
        <v>61</v>
      </c>
    </row>
    <row customHeight="1" ht="14.25" hidden="1">
      <c r="AC16" s="1390"/>
      <c r="AD16" s="1390"/>
      <c r="AE16" s="324" t="str">
        <f>AF15&amp;"-"&amp;AH15</f>
        <v>-</v>
      </c>
      <c r="AF16" s="2104"/>
      <c r="AG16" s="2104"/>
      <c r="AH16" s="2104"/>
      <c r="AI16" s="2104"/>
    </row>
    <row customHeight="1" ht="14.25" hidden="1">
      <c r="AI17" s="323"/>
    </row>
    <row s="3293" customFormat="1" customHeight="1" ht="22.5" hidden="1">
      <c r="L18" s="1508"/>
      <c r="M18" s="1392"/>
      <c r="N18" s="1392"/>
      <c r="O18" s="1397" t="s">
        <v>407</v>
      </c>
      <c r="P18" s="1392"/>
      <c r="Q18" s="1401"/>
      <c r="R18" s="1401"/>
      <c r="S18" s="735"/>
      <c r="Y18" s="1397"/>
      <c r="AA18" s="1397"/>
      <c r="AB18" s="1396"/>
      <c r="AF18" s="1397"/>
      <c r="AH18" s="1397"/>
      <c r="AI18" s="1396"/>
      <c r="AL18" s="517"/>
      <c r="AM18" s="517"/>
      <c r="AN18" s="517"/>
      <c r="AO18" s="517"/>
      <c r="AP18" s="517"/>
    </row>
    <row s="3293" customFormat="1" customHeight="1" ht="14.25" hidden="1">
      <c r="L19" s="1508"/>
      <c r="M19" s="1392"/>
      <c r="N19" s="1392"/>
      <c r="O19" s="1392"/>
      <c r="P19" s="1392"/>
      <c r="Q19" s="1401"/>
      <c r="R19" s="1401"/>
      <c r="S19" s="735"/>
      <c r="AB19" s="1396"/>
      <c r="AI19" s="1396"/>
      <c r="AL19" s="517"/>
      <c r="AM19" s="517"/>
      <c r="AN19" s="517"/>
      <c r="AO19" s="517"/>
      <c r="AP19" s="517"/>
    </row>
    <row s="3293" customFormat="1" customHeight="1" ht="12" hidden="1">
      <c r="L20" s="1508"/>
      <c r="M20" s="1392"/>
      <c r="N20" s="1392"/>
      <c r="O20" s="1394" t="s">
        <v>408</v>
      </c>
      <c r="P20" s="1392"/>
      <c r="Q20" s="1472"/>
      <c r="R20" s="1472"/>
      <c r="S20" s="735"/>
      <c r="T20" s="1168" t="s">
        <v>409</v>
      </c>
      <c r="Z20" s="172" t="s">
        <v>410</v>
      </c>
      <c r="AB20" s="172" t="s">
        <v>411</v>
      </c>
      <c r="AC20" s="1168" t="s">
        <v>409</v>
      </c>
      <c r="AG20" s="172" t="s">
        <v>412</v>
      </c>
      <c r="AI20" s="172" t="s">
        <v>411</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МУП г. Азова "Теплоэнерго"</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06"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Региональная служба по тарифам Ростовской области</v>
      </c>
      <c r="W27" s="2100"/>
      <c r="X27" s="2100"/>
      <c r="Y27" s="2100"/>
      <c r="Z27" s="2100"/>
      <c r="AA27" s="2100"/>
      <c r="AB27" s="322"/>
      <c r="AC27" s="2100" t="str">
        <f>IF(TITLE_NAME_OR_PR_CHANGE="",IF(TITLE_NAME_OR_PR="","",TITLE_NAME_OR_PR),TITLE_NAME_OR_PR_CHANGE)</f>
        <v>Региональная служба по тарифам Ростовской области</v>
      </c>
      <c r="AD27" s="2100"/>
      <c r="AE27" s="2100"/>
      <c r="AF27" s="2100"/>
      <c r="AG27" s="2100"/>
      <c r="AH27" s="2100"/>
      <c r="AI27" s="322"/>
      <c r="AJ27" s="322"/>
      <c r="AK27" s="268"/>
      <c r="AL27" s="368"/>
      <c r="AM27" s="368"/>
      <c r="AN27" s="368"/>
      <c r="AO27" s="368"/>
      <c r="AP27" s="368"/>
    </row>
    <row s="3306" customFormat="1" customHeight="1" ht="18.75">
      <c r="A28" s="1398"/>
      <c r="B28" s="1398"/>
      <c r="C28" s="1398"/>
      <c r="D28" s="1398"/>
      <c r="E28" s="1398"/>
      <c r="F28" s="1398"/>
      <c r="G28" s="1398"/>
      <c r="H28" s="1398"/>
      <c r="I28" s="1398"/>
      <c r="J28" s="1398"/>
      <c r="K28" s="1398"/>
      <c r="L28" s="1399"/>
      <c r="M28" s="1398"/>
      <c r="N28" s="1398"/>
      <c r="O28" s="1398"/>
      <c r="S28" s="2098" t="s">
        <v>413</v>
      </c>
      <c r="T28" s="2098"/>
      <c r="U28" s="1402"/>
      <c r="V28" s="2099" t="str">
        <f>IF(TITLE_DATE_PR_CHANGE="",IF(TITLE_DATE_PR="","",TITLE_DATE_PR),TITLE_DATE_PR_CHANGE)</f>
        <v>45245.61800925926</v>
      </c>
      <c r="W28" s="2099"/>
      <c r="X28" s="2099"/>
      <c r="Y28" s="2099"/>
      <c r="Z28" s="2099"/>
      <c r="AA28" s="2099"/>
      <c r="AB28" s="322"/>
      <c r="AC28" s="2099" t="str">
        <f>IF(TITLE_DATE_PR_CHANGE="",IF(TITLE_DATE_PR="","",TITLE_DATE_PR),TITLE_DATE_PR_CHANGE)</f>
        <v>45245.61800925926</v>
      </c>
      <c r="AD28" s="2099"/>
      <c r="AE28" s="2099"/>
      <c r="AF28" s="2099"/>
      <c r="AG28" s="2099"/>
      <c r="AH28" s="2099"/>
      <c r="AI28" s="322"/>
      <c r="AJ28" s="322"/>
      <c r="AK28" s="268"/>
      <c r="AL28" s="368"/>
      <c r="AM28" s="368"/>
      <c r="AN28" s="368"/>
      <c r="AO28" s="368"/>
      <c r="AP28" s="368"/>
    </row>
    <row s="3306" customFormat="1" customHeight="1" ht="18.75">
      <c r="A29" s="1398"/>
      <c r="B29" s="1398"/>
      <c r="C29" s="1398"/>
      <c r="D29" s="1398"/>
      <c r="E29" s="1398"/>
      <c r="F29" s="1398"/>
      <c r="G29" s="1398"/>
      <c r="H29" s="1398"/>
      <c r="I29" s="1398"/>
      <c r="J29" s="1398"/>
      <c r="K29" s="1398"/>
      <c r="L29" s="1399"/>
      <c r="M29" s="1398"/>
      <c r="N29" s="1398"/>
      <c r="O29" s="1398"/>
      <c r="S29" s="2098" t="s">
        <v>414</v>
      </c>
      <c r="T29" s="2098"/>
      <c r="U29" s="1402"/>
      <c r="V29" s="2100" t="str">
        <f>IF(TITLE_NUMBER_PR_CHANGE="",IF(TITLE_NUMBER_PR="","",TITLE_NUMBER_PR),TITLE_NUMBER_PR_CHANGE)</f>
        <v>550</v>
      </c>
      <c r="W29" s="2100"/>
      <c r="X29" s="2100"/>
      <c r="Y29" s="2100"/>
      <c r="Z29" s="2100"/>
      <c r="AA29" s="2100"/>
      <c r="AB29" s="322"/>
      <c r="AC29" s="2100" t="str">
        <f>IF(TITLE_NUMBER_PR_CHANGE="",IF(TITLE_NUMBER_PR="","",TITLE_NUMBER_PR),TITLE_NUMBER_PR_CHANGE)</f>
        <v>550</v>
      </c>
      <c r="AD29" s="2100"/>
      <c r="AE29" s="2100"/>
      <c r="AF29" s="2100"/>
      <c r="AG29" s="2100"/>
      <c r="AH29" s="2100"/>
      <c r="AI29" s="322"/>
      <c r="AJ29" s="322"/>
      <c r="AK29" s="268"/>
      <c r="AL29" s="368"/>
      <c r="AM29" s="368"/>
      <c r="AN29" s="368"/>
      <c r="AO29" s="368"/>
      <c r="AP29" s="368"/>
    </row>
    <row s="3306"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https://rst.donland.ru</v>
      </c>
      <c r="W30" s="2100"/>
      <c r="X30" s="2100"/>
      <c r="Y30" s="2100"/>
      <c r="Z30" s="2100"/>
      <c r="AA30" s="2100"/>
      <c r="AB30" s="322"/>
      <c r="AC30" s="2100" t="str">
        <f>IF(TITLE_IST_PUB_CHANGE="",IF(TITLE_IST_PUB="","",TITLE_IST_PUB),TITLE_IST_PUB_CHANGE)</f>
        <v>https://rst.donland.ru</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06" customFormat="1" customHeight="1" ht="18.75" hidden="1">
      <c r="A32" s="1398"/>
      <c r="B32" s="1398"/>
      <c r="C32" s="1398"/>
      <c r="D32" s="1398"/>
      <c r="E32" s="1398"/>
      <c r="F32" s="1398"/>
      <c r="G32" s="1398"/>
      <c r="H32" s="1398"/>
      <c r="I32" s="1398"/>
      <c r="J32" s="1398"/>
      <c r="K32" s="1398"/>
      <c r="L32" s="1399"/>
      <c r="M32" s="1398"/>
      <c r="N32" s="1398"/>
      <c r="O32" s="1398"/>
      <c r="S32" s="2098" t="s">
        <v>415</v>
      </c>
      <c r="T32" s="2098"/>
      <c r="U32" s="1402"/>
      <c r="V32" s="2099" t="str">
        <f>IF(TITLE_DATE_PR_CHANGE="",IF(TITLE_DATE_PR="","",TITLE_DATE_PR),TITLE_DATE_PR_CHANGE)</f>
        <v>45245.61800925926</v>
      </c>
      <c r="W32" s="2099"/>
      <c r="X32" s="2099"/>
      <c r="Y32" s="2099"/>
      <c r="Z32" s="2099"/>
      <c r="AA32" s="2099"/>
      <c r="AB32" s="322"/>
      <c r="AC32" s="2099" t="str">
        <f>IF(TITLE_DATE_PR_CHANGE="",IF(TITLE_DATE_PR="","",TITLE_DATE_PR),TITLE_DATE_PR_CHANGE)</f>
        <v>45245.61800925926</v>
      </c>
      <c r="AD32" s="2099"/>
      <c r="AE32" s="2099"/>
      <c r="AF32" s="2099"/>
      <c r="AG32" s="2099"/>
      <c r="AH32" s="2099"/>
      <c r="AI32" s="322"/>
      <c r="AJ32" s="322"/>
      <c r="AK32" s="268"/>
      <c r="AL32" s="368"/>
      <c r="AM32" s="368"/>
      <c r="AN32" s="368"/>
      <c r="AO32" s="368"/>
      <c r="AP32" s="368"/>
    </row>
    <row s="3306" customFormat="1" customHeight="1" ht="18.75" hidden="1">
      <c r="A33" s="1398"/>
      <c r="B33" s="1398"/>
      <c r="C33" s="1398"/>
      <c r="D33" s="1398"/>
      <c r="E33" s="1398"/>
      <c r="F33" s="1398"/>
      <c r="G33" s="1398"/>
      <c r="H33" s="1398"/>
      <c r="I33" s="1398"/>
      <c r="J33" s="1398"/>
      <c r="K33" s="1398"/>
      <c r="L33" s="1399"/>
      <c r="M33" s="1398"/>
      <c r="N33" s="1398"/>
      <c r="O33" s="1398"/>
      <c r="S33" s="2098" t="s">
        <v>416</v>
      </c>
      <c r="T33" s="2098"/>
      <c r="U33" s="1402"/>
      <c r="V33" s="2100" t="str">
        <f>IF(TITLE_NUMBER_PR_CHANGE="",IF(TITLE_NUMBER_PR="","",TITLE_NUMBER_PR),TITLE_NUMBER_PR_CHANGE)</f>
        <v>550</v>
      </c>
      <c r="W33" s="2100"/>
      <c r="X33" s="2100"/>
      <c r="Y33" s="2100"/>
      <c r="Z33" s="2100"/>
      <c r="AA33" s="2100"/>
      <c r="AB33" s="322"/>
      <c r="AC33" s="2100" t="str">
        <f>IF(TITLE_NUMBER_PR_CHANGE="",IF(TITLE_NUMBER_PR="","",TITLE_NUMBER_PR),TITLE_NUMBER_PR_CHANGE)</f>
        <v>550</v>
      </c>
      <c r="AD33" s="2100"/>
      <c r="AE33" s="2100"/>
      <c r="AF33" s="2100"/>
      <c r="AG33" s="2100"/>
      <c r="AH33" s="2100"/>
      <c r="AI33" s="322"/>
      <c r="AJ33" s="322"/>
      <c r="AK33" s="268"/>
      <c r="AL33" s="368"/>
      <c r="AM33" s="368"/>
      <c r="AN33" s="368"/>
      <c r="AO33" s="368"/>
      <c r="AP33" s="368"/>
    </row>
    <row s="3306"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417</v>
      </c>
      <c r="AC34" s="322"/>
      <c r="AD34" s="322"/>
      <c r="AE34" s="322"/>
      <c r="AF34" s="322"/>
      <c r="AG34" s="322"/>
      <c r="AH34" s="322"/>
      <c r="AI34" s="266" t="s">
        <v>417</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291</v>
      </c>
      <c r="T36" s="1971"/>
      <c r="U36" s="1971"/>
      <c r="V36" s="1971"/>
      <c r="W36" s="1971"/>
      <c r="X36" s="1971"/>
      <c r="Y36" s="1971"/>
      <c r="Z36" s="1971"/>
      <c r="AA36" s="1971"/>
      <c r="AB36" s="1971"/>
      <c r="AC36" s="1971"/>
      <c r="AD36" s="1971"/>
      <c r="AE36" s="1971"/>
      <c r="AF36" s="1971"/>
      <c r="AG36" s="1971"/>
      <c r="AH36" s="1971"/>
      <c r="AI36" s="1971"/>
      <c r="AJ36" s="1971"/>
      <c r="AK36" s="1971" t="s">
        <v>292</v>
      </c>
    </row>
    <row customHeight="1" ht="14.25">
      <c r="Q37" s="377"/>
      <c r="R37" s="377"/>
      <c r="S37" s="2125" t="s">
        <v>87</v>
      </c>
      <c r="T37" s="2062" t="s">
        <v>418</v>
      </c>
      <c r="U37" s="289"/>
      <c r="V37" s="2126" t="s">
        <v>419</v>
      </c>
      <c r="W37" s="2127"/>
      <c r="X37" s="2127"/>
      <c r="Y37" s="2127"/>
      <c r="Z37" s="2127"/>
      <c r="AA37" s="2128"/>
      <c r="AB37" s="2129" t="s">
        <v>420</v>
      </c>
      <c r="AC37" s="2126" t="s">
        <v>419</v>
      </c>
      <c r="AD37" s="2127"/>
      <c r="AE37" s="2127"/>
      <c r="AF37" s="2127"/>
      <c r="AG37" s="2127"/>
      <c r="AH37" s="2128"/>
      <c r="AI37" s="2129" t="s">
        <v>421</v>
      </c>
      <c r="AJ37" s="2132" t="s">
        <v>422</v>
      </c>
      <c r="AK37" s="1971"/>
    </row>
    <row customHeight="1" ht="33.75">
      <c r="Q38" s="377"/>
      <c r="R38" s="377"/>
      <c r="S38" s="2125"/>
      <c r="T38" s="2062"/>
      <c r="U38" s="1038"/>
      <c r="V38" s="1513" t="s">
        <v>484</v>
      </c>
      <c r="W38" s="2118" t="s">
        <v>425</v>
      </c>
      <c r="X38" s="2120"/>
      <c r="Y38" s="2118" t="s">
        <v>426</v>
      </c>
      <c r="Z38" s="2119"/>
      <c r="AA38" s="2120"/>
      <c r="AB38" s="2130"/>
      <c r="AC38" s="1513" t="s">
        <v>484</v>
      </c>
      <c r="AD38" s="2118" t="s">
        <v>425</v>
      </c>
      <c r="AE38" s="2120"/>
      <c r="AF38" s="2118" t="s">
        <v>426</v>
      </c>
      <c r="AG38" s="2119"/>
      <c r="AH38" s="2120"/>
      <c r="AI38" s="2130"/>
      <c r="AJ38" s="2133"/>
      <c r="AK38" s="1971"/>
    </row>
    <row customHeight="1" ht="86.25">
      <c r="A39" s="1400"/>
      <c r="B39" s="1400" t="s">
        <v>134</v>
      </c>
      <c r="C39" s="1400" t="s">
        <v>135</v>
      </c>
      <c r="D39" s="1400" t="s">
        <v>136</v>
      </c>
      <c r="E39" s="1394" t="s">
        <v>427</v>
      </c>
      <c r="F39" s="1394" t="s">
        <v>428</v>
      </c>
      <c r="G39" s="1394" t="s">
        <v>429</v>
      </c>
      <c r="H39" s="1394"/>
      <c r="I39" s="1394" t="s">
        <v>485</v>
      </c>
      <c r="J39" s="1394" t="s">
        <v>432</v>
      </c>
      <c r="K39" s="1394" t="s">
        <v>486</v>
      </c>
      <c r="L39" s="1394" t="s">
        <v>408</v>
      </c>
      <c r="Q39" s="377"/>
      <c r="R39" s="377"/>
      <c r="S39" s="2125"/>
      <c r="T39" s="2062"/>
      <c r="U39" s="290"/>
      <c r="V39" s="1513" t="s">
        <v>511</v>
      </c>
      <c r="W39" s="1237" t="s">
        <v>512</v>
      </c>
      <c r="X39" s="1237" t="s">
        <v>489</v>
      </c>
      <c r="Y39" s="1519" t="s">
        <v>436</v>
      </c>
      <c r="Z39" s="2121" t="s">
        <v>437</v>
      </c>
      <c r="AA39" s="2122"/>
      <c r="AB39" s="2131"/>
      <c r="AC39" s="1513" t="s">
        <v>511</v>
      </c>
      <c r="AD39" s="1237" t="s">
        <v>512</v>
      </c>
      <c r="AE39" s="1237" t="s">
        <v>489</v>
      </c>
      <c r="AF39" s="1519" t="s">
        <v>436</v>
      </c>
      <c r="AG39" s="2121" t="s">
        <v>437</v>
      </c>
      <c r="AH39" s="2122"/>
      <c r="AI39" s="2131"/>
      <c r="AJ39" s="2134"/>
      <c r="AK39" s="1971"/>
    </row>
    <row s="2611"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108</v>
      </c>
      <c r="T40" s="1281" t="s">
        <v>109</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262</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122</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262</v>
      </c>
      <c r="B42" s="1393" t="s">
        <v>263</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390</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391</v>
      </c>
      <c r="AM42" s="506"/>
      <c r="AN42" s="506" t="str">
        <f>IF(T42="","",T42)</f>
        <v>Территория действия тарифа</v>
      </c>
      <c r="AO42" s="506"/>
      <c r="AP42" s="506"/>
    </row>
    <row customHeight="1" ht="23.25">
      <c r="A43" s="1393" t="s">
        <v>262</v>
      </c>
      <c r="B43" s="1393" t="s">
        <v>263</v>
      </c>
      <c r="C43" s="1393" t="s">
        <v>264</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509</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510</v>
      </c>
      <c r="AM43" s="506"/>
      <c r="AN43" s="506" t="str">
        <f>IF(T43="","",T43)</f>
        <v>Наименование централизованной системы водоотведения</v>
      </c>
      <c r="AO43" s="506"/>
      <c r="AP43" s="506"/>
    </row>
    <row customHeight="1" ht="23.25">
      <c r="A44" s="1393" t="s">
        <v>262</v>
      </c>
      <c r="B44" s="1393" t="s">
        <v>263</v>
      </c>
      <c r="C44" s="1393" t="s">
        <v>264</v>
      </c>
      <c r="D44" s="1393" t="s">
        <v>514</v>
      </c>
      <c r="E44" s="2108"/>
      <c r="F44" s="2108"/>
      <c r="G44" s="2108"/>
      <c r="H44" s="2108"/>
      <c r="I44" s="2109" t="str">
        <f>S43&amp;".1"</f>
        <v>...1</v>
      </c>
      <c r="J44" s="1393"/>
      <c r="K44" s="1393"/>
      <c r="L44" s="1394"/>
      <c r="P44" s="2111">
        <v>1</v>
      </c>
      <c r="Q44" s="1511"/>
      <c r="R44" s="352"/>
      <c r="S44" s="1523" t="str">
        <f>$I44</f>
        <v>...1</v>
      </c>
      <c r="T44" s="273" t="s">
        <v>478</v>
      </c>
      <c r="U44" s="288"/>
      <c r="V44" s="2194"/>
      <c r="W44" s="2195"/>
      <c r="X44" s="2195"/>
      <c r="Y44" s="2195"/>
      <c r="Z44" s="2195"/>
      <c r="AA44" s="2195"/>
      <c r="AB44" s="2196"/>
      <c r="AC44" s="2197"/>
      <c r="AD44" s="2198"/>
      <c r="AE44" s="2198"/>
      <c r="AF44" s="2198"/>
      <c r="AG44" s="2198"/>
      <c r="AH44" s="2198"/>
      <c r="AI44" s="2198"/>
      <c r="AJ44" s="2199"/>
      <c r="AK44" s="1286" t="s">
        <v>479</v>
      </c>
      <c r="AM44" s="506"/>
      <c r="AN44" s="506" t="str">
        <f>IF(T44="","",T44)</f>
        <v>Наименование признака дифференциации</v>
      </c>
      <c r="AO44" s="506"/>
      <c r="AP44" s="506"/>
    </row>
    <row customHeight="1" ht="23.25">
      <c r="A45" s="1393" t="s">
        <v>262</v>
      </c>
      <c r="B45" s="1393" t="s">
        <v>263</v>
      </c>
      <c r="C45" s="1393" t="s">
        <v>264</v>
      </c>
      <c r="D45" s="1393" t="s">
        <v>514</v>
      </c>
      <c r="E45" s="2108"/>
      <c r="F45" s="2108"/>
      <c r="G45" s="2108"/>
      <c r="H45" s="2108"/>
      <c r="I45" s="2110"/>
      <c r="J45" s="2109" t="str">
        <f>I44&amp;".1"</f>
        <v>...1.1</v>
      </c>
      <c r="K45" s="1393"/>
      <c r="L45" s="1394" t="s">
        <v>399</v>
      </c>
      <c r="P45" s="2111"/>
      <c r="Q45" s="2111">
        <v>1</v>
      </c>
      <c r="R45" s="353"/>
      <c r="S45" s="1523" t="str">
        <f>$J45</f>
        <v>...1.1</v>
      </c>
      <c r="T45" s="274" t="s">
        <v>400</v>
      </c>
      <c r="U45" s="288"/>
      <c r="V45" s="2095"/>
      <c r="W45" s="2096"/>
      <c r="X45" s="2096"/>
      <c r="Y45" s="2096"/>
      <c r="Z45" s="2096"/>
      <c r="AA45" s="2096"/>
      <c r="AB45" s="2097"/>
      <c r="AC45" s="2095"/>
      <c r="AD45" s="2096"/>
      <c r="AE45" s="2096"/>
      <c r="AF45" s="2096"/>
      <c r="AG45" s="2096"/>
      <c r="AH45" s="2096"/>
      <c r="AI45" s="2096"/>
      <c r="AJ45" s="2097"/>
      <c r="AK45" s="1337" t="s">
        <v>480</v>
      </c>
      <c r="AM45" s="506"/>
      <c r="AN45" s="506" t="str">
        <f>IF(T45="","",T45)</f>
        <v>Группа потребителей</v>
      </c>
      <c r="AO45" s="506"/>
      <c r="AP45" s="506"/>
    </row>
    <row customHeight="1" ht="23.25">
      <c r="A46" s="1393" t="s">
        <v>262</v>
      </c>
      <c r="B46" s="1393" t="s">
        <v>263</v>
      </c>
      <c r="C46" s="1393" t="s">
        <v>264</v>
      </c>
      <c r="D46" s="1393" t="s">
        <v>514</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61</v>
      </c>
      <c r="AA46" s="2105"/>
      <c r="AB46" s="2104" t="s">
        <v>61</v>
      </c>
      <c r="AC46" s="757"/>
      <c r="AD46" s="757"/>
      <c r="AE46" s="1285"/>
      <c r="AF46" s="2112"/>
      <c r="AG46" s="1981" t="s">
        <v>61</v>
      </c>
      <c r="AH46" s="2114"/>
      <c r="AI46" s="1981" t="s">
        <v>56</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262</v>
      </c>
      <c r="B47" s="1393" t="s">
        <v>263</v>
      </c>
      <c r="C47" s="1393" t="s">
        <v>264</v>
      </c>
      <c r="D47" s="1393" t="s">
        <v>514</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262</v>
      </c>
      <c r="B48" s="1393" t="s">
        <v>263</v>
      </c>
      <c r="C48" s="1393" t="s">
        <v>264</v>
      </c>
      <c r="D48" s="1393" t="s">
        <v>514</v>
      </c>
      <c r="E48" s="2108"/>
      <c r="F48" s="2108"/>
      <c r="G48" s="2108"/>
      <c r="H48" s="2108"/>
      <c r="I48" s="2110"/>
      <c r="J48" s="2109"/>
      <c r="K48" s="1393"/>
      <c r="L48" s="1394"/>
      <c r="P48" s="2111"/>
      <c r="Q48" s="2111"/>
      <c r="R48" s="352"/>
      <c r="S48" s="1308"/>
      <c r="T48" s="275" t="s">
        <v>481</v>
      </c>
      <c r="U48" s="367"/>
      <c r="V48" s="367"/>
      <c r="W48" s="367"/>
      <c r="X48" s="367"/>
      <c r="Y48" s="367"/>
      <c r="Z48" s="367"/>
      <c r="AA48" s="367"/>
      <c r="AB48" s="367"/>
      <c r="AC48" s="367"/>
      <c r="AD48" s="367"/>
      <c r="AE48" s="367"/>
      <c r="AF48" s="367"/>
      <c r="AG48" s="367"/>
      <c r="AH48" s="367"/>
      <c r="AI48" s="367"/>
      <c r="AJ48" s="367"/>
      <c r="AK48" s="1286" t="s">
        <v>482</v>
      </c>
      <c r="AM48" s="506"/>
      <c r="AN48" s="506" t="str">
        <f>IF(T48="","",T48)</f>
        <v>Добавить значение признака дифференциации</v>
      </c>
      <c r="AO48" s="506"/>
      <c r="AP48" s="506"/>
    </row>
    <row customHeight="1" ht="21">
      <c r="A49" s="1393" t="s">
        <v>262</v>
      </c>
      <c r="B49" s="1393" t="s">
        <v>263</v>
      </c>
      <c r="C49" s="1393" t="s">
        <v>264</v>
      </c>
      <c r="D49" s="1393" t="s">
        <v>514</v>
      </c>
      <c r="E49" s="2108"/>
      <c r="F49" s="2108"/>
      <c r="G49" s="2108"/>
      <c r="H49" s="2108"/>
      <c r="I49" s="2109"/>
      <c r="J49" s="1393"/>
      <c r="K49" s="1393"/>
      <c r="L49" s="1394"/>
      <c r="P49" s="2111"/>
      <c r="Q49" s="1511"/>
      <c r="R49" s="352"/>
      <c r="S49" s="1308"/>
      <c r="T49" s="364" t="s">
        <v>405</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262</v>
      </c>
      <c r="B50" s="1393" t="s">
        <v>263</v>
      </c>
      <c r="C50" s="1393" t="s">
        <v>264</v>
      </c>
      <c r="D50" s="1393" t="s">
        <v>514</v>
      </c>
      <c r="E50" s="2108"/>
      <c r="F50" s="2108"/>
      <c r="G50" s="2108"/>
      <c r="H50" s="2107"/>
      <c r="I50" s="1393"/>
      <c r="J50" s="1393"/>
      <c r="K50" s="1393"/>
      <c r="L50" s="1394"/>
      <c r="M50" s="1395"/>
      <c r="N50" s="1395"/>
      <c r="O50" s="543"/>
      <c r="P50" s="356"/>
      <c r="Q50" s="376"/>
      <c r="R50" s="351"/>
      <c r="S50" s="1308"/>
      <c r="T50" s="372" t="s">
        <v>483</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4" customFormat="1" customHeight="1" ht="0">
      <c r="A51" s="1373" t="s">
        <v>262</v>
      </c>
      <c r="B51" s="1373" t="s">
        <v>263</v>
      </c>
      <c r="C51" s="1344"/>
      <c r="D51" s="1344"/>
      <c r="E51" s="2108"/>
      <c r="F51" s="2107"/>
      <c r="G51" s="1344"/>
      <c r="H51" s="1344"/>
      <c r="I51" s="1344"/>
      <c r="J51" s="1344"/>
      <c r="K51" s="1344"/>
      <c r="L51" s="1524"/>
      <c r="M51" s="1351"/>
      <c r="N51" s="1351"/>
      <c r="P51" s="1346"/>
      <c r="Q51" s="1347"/>
      <c r="R51" s="1346"/>
      <c r="S51" s="1352"/>
      <c r="T51" s="1355" t="s">
        <v>168</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2" customFormat="1" customHeight="1" ht="0">
      <c r="A52" s="1373" t="s">
        <v>262</v>
      </c>
      <c r="B52" s="1373"/>
      <c r="C52" s="1373"/>
      <c r="D52" s="1373"/>
      <c r="E52" s="2107"/>
      <c r="F52" s="1373"/>
      <c r="G52" s="1373"/>
      <c r="H52" s="1373"/>
      <c r="I52" s="1373"/>
      <c r="J52" s="1373"/>
      <c r="K52" s="1373"/>
      <c r="L52" s="1376"/>
      <c r="M52" s="1351"/>
      <c r="N52" s="1351"/>
      <c r="O52" s="524"/>
      <c r="P52" s="385"/>
      <c r="Q52" s="1374"/>
      <c r="R52" s="385"/>
      <c r="S52" s="1352"/>
      <c r="T52" s="1355" t="s">
        <v>169</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4"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170</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618005-5CC8-DEB8-D348-53F5DE557094}"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3293" width="11.57421875" hidden="1" customWidth="1"/>
    <col min="2" max="2" style="3293" width="11.00390625" hidden="1" customWidth="1"/>
    <col min="3" max="3" style="3293" width="10.57421875" hidden="1"/>
    <col min="4" max="4" style="3293" width="12.8515625" hidden="1" customWidth="1"/>
    <col min="5" max="5" style="3293" width="10.00390625" hidden="1" customWidth="1"/>
    <col min="6" max="6" style="3293" width="8.7109375" hidden="1" customWidth="1"/>
    <col min="7" max="7" style="3293" width="7.57421875" hidden="1" customWidth="1"/>
    <col min="8" max="8" style="3293" width="11.421875" hidden="1" customWidth="1"/>
    <col min="9" max="9" style="3293" width="12.00390625" hidden="1" customWidth="1"/>
    <col min="10" max="10" style="3293" width="9.8515625" hidden="1" customWidth="1"/>
    <col min="11" max="11" style="3293" width="11.421875" hidden="1" customWidth="1"/>
    <col min="12" max="12" style="4013" width="19.140625" hidden="1" customWidth="1"/>
    <col min="13" max="14" style="3295" width="12.28125" hidden="1" customWidth="1"/>
    <col min="15" max="15" style="3295" width="23.421875" hidden="1" customWidth="1"/>
    <col min="16" max="16" style="3295" width="3.7109375" hidden="1" customWidth="1"/>
    <col min="17" max="17" style="3297" width="3.7109375" hidden="1" customWidth="1"/>
    <col min="18" max="18" style="3372" width="3.7109375" customWidth="1"/>
    <col min="19" max="19" style="3373" width="12.7109375" customWidth="1"/>
    <col min="20" max="20" style="2941" width="32.00390625" customWidth="1"/>
    <col min="21" max="21" style="2941" width="0.140625" customWidth="1"/>
    <col min="22" max="25" style="2941" width="21.7109375" hidden="1" customWidth="1"/>
    <col min="26" max="26" style="2941" width="11.7109375" hidden="1" customWidth="1"/>
    <col min="27" max="27" style="2941" width="3.7109375" hidden="1" customWidth="1"/>
    <col min="28" max="28" style="2941" width="11.7109375" hidden="1" customWidth="1"/>
    <col min="29" max="29" style="2941" width="8.57421875" hidden="1" customWidth="1"/>
    <col min="30" max="32" style="2941" width="3.7109375" customWidth="1"/>
    <col min="33" max="33" style="2941" width="24.7109375" customWidth="1"/>
    <col min="34" max="36" style="2941" width="3.7109375" customWidth="1"/>
    <col min="37" max="37" style="2941" width="24.7109375" customWidth="1"/>
    <col min="38" max="40" style="2941" width="3.7109375" customWidth="1"/>
    <col min="41" max="41" style="2941" width="18.8515625" customWidth="1"/>
    <col min="42" max="44" style="2941" width="3.7109375" customWidth="1"/>
    <col min="45" max="45" style="2941" width="18.8515625" customWidth="1"/>
    <col min="46" max="49" style="2941" width="21.7109375" customWidth="1"/>
    <col min="50" max="50" style="2941" width="11.7109375" customWidth="1"/>
    <col min="51" max="51" style="2941" width="3.7109375" customWidth="1"/>
    <col min="52" max="52" style="2941" width="11.7109375" customWidth="1"/>
    <col min="53" max="53" style="2941" width="8.57421875" hidden="1" customWidth="1"/>
    <col min="54" max="54" style="2941" width="4.7109375" customWidth="1"/>
    <col min="55" max="55" style="2941" width="115.7109375" customWidth="1"/>
    <col min="56" max="57" style="2612" width="10.57421875"/>
    <col min="58" max="58" style="2612" width="11.140625" customWidth="1"/>
    <col min="59" max="60" style="2612" width="10.57421875"/>
  </cols>
  <sheetData>
    <row customHeight="1" ht="14.25" hidden="1">
      <c r="W1" s="323"/>
      <c r="Y1" s="323"/>
      <c r="Z1" s="323"/>
      <c r="AW1" s="323"/>
      <c r="AX1" s="323"/>
    </row>
    <row customHeight="1" ht="21" hidden="1">
      <c r="A2" s="1393"/>
      <c r="B2" s="1393"/>
      <c r="C2" s="1393"/>
      <c r="D2" s="1393"/>
      <c r="E2" s="2107">
        <v>1</v>
      </c>
      <c r="F2" s="1393"/>
      <c r="G2" s="1393"/>
      <c r="H2" s="1393"/>
      <c r="I2" s="1393"/>
      <c r="J2" s="1393"/>
      <c r="K2" s="1393"/>
      <c r="L2" s="1394"/>
      <c r="M2" s="1395"/>
      <c r="N2" s="1395"/>
      <c r="O2" s="1395"/>
      <c r="P2" s="1439"/>
      <c r="Q2" s="879"/>
      <c r="R2" s="351"/>
      <c r="S2" s="1523">
        <f>INDEX(PT_DIFFERENTIATION_NUM_NTAR,MATCH(A2,PT_DIFFERENTIATION_NTAR_ID,0))</f>
      </c>
      <c r="T2" s="286" t="s">
        <v>122</v>
      </c>
      <c r="U2" s="288"/>
      <c r="V2" s="2102"/>
      <c r="W2" s="2102"/>
      <c r="X2" s="2102"/>
      <c r="Y2" s="2102"/>
      <c r="Z2" s="2102"/>
      <c r="AA2" s="2102"/>
      <c r="AB2" s="2102"/>
      <c r="AC2" s="2103"/>
      <c r="AD2" s="2101">
        <f>INDEX(PT_DIFFERENTIATION_NTAR,MATCH(A2,PT_DIFFERENTIATION_NTAR_ID,0))</f>
      </c>
      <c r="AE2" s="2102"/>
      <c r="AF2" s="2102"/>
      <c r="AG2" s="2102"/>
      <c r="AH2" s="2102"/>
      <c r="AI2" s="2102"/>
      <c r="AJ2" s="2102"/>
      <c r="AK2" s="2102"/>
      <c r="AL2" s="2102"/>
      <c r="AM2" s="2102"/>
      <c r="AN2" s="2102"/>
      <c r="AO2" s="2102"/>
      <c r="AP2" s="2102"/>
      <c r="AQ2" s="2102"/>
      <c r="AR2" s="2102"/>
      <c r="AS2" s="2102"/>
      <c r="AT2" s="2102"/>
      <c r="AU2" s="2102"/>
      <c r="AV2" s="2102"/>
      <c r="AW2" s="2102"/>
      <c r="AX2" s="2102"/>
      <c r="AY2" s="2102"/>
      <c r="AZ2" s="2102"/>
      <c r="BA2" s="2102"/>
      <c r="BB2" s="2103"/>
      <c r="BC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3"/>
      <c r="B3" s="1393"/>
      <c r="C3" s="1393"/>
      <c r="D3" s="1393"/>
      <c r="E3" s="2108"/>
      <c r="F3" s="2107">
        <v>1</v>
      </c>
      <c r="G3" s="1393"/>
      <c r="H3" s="1393"/>
      <c r="I3" s="1393"/>
      <c r="J3" s="1393"/>
      <c r="K3" s="1393"/>
      <c r="L3" s="1394"/>
      <c r="M3" s="1395"/>
      <c r="N3" s="1395"/>
      <c r="O3" s="1395"/>
      <c r="P3" s="1440"/>
      <c r="Q3" s="1441"/>
      <c r="R3" s="349"/>
      <c r="S3" s="1523">
        <f>INDEX(PT_DIFFERENTIATION_NUM_TER,MATCH(B3,PT_DIFFERENTIATION_TER_ID,0))</f>
      </c>
      <c r="T3" s="298" t="s">
        <v>390</v>
      </c>
      <c r="U3" s="288"/>
      <c r="V3" s="2102"/>
      <c r="W3" s="2102"/>
      <c r="X3" s="2102"/>
      <c r="Y3" s="2102"/>
      <c r="Z3" s="2102"/>
      <c r="AA3" s="2102"/>
      <c r="AB3" s="2102"/>
      <c r="AC3" s="2103"/>
      <c r="AD3" s="2101">
        <f>INDEX(PT_DIFFERENTIATION_TER,MATCH(B3,PT_DIFFERENTIATION_TER_ID,0))</f>
      </c>
      <c r="AE3" s="2102"/>
      <c r="AF3" s="2102"/>
      <c r="AG3" s="2102"/>
      <c r="AH3" s="2102"/>
      <c r="AI3" s="2102"/>
      <c r="AJ3" s="2102"/>
      <c r="AK3" s="2102"/>
      <c r="AL3" s="2102"/>
      <c r="AM3" s="2102"/>
      <c r="AN3" s="2102"/>
      <c r="AO3" s="2102"/>
      <c r="AP3" s="2102"/>
      <c r="AQ3" s="2102"/>
      <c r="AR3" s="2102"/>
      <c r="AS3" s="2102"/>
      <c r="AT3" s="2102"/>
      <c r="AU3" s="2102"/>
      <c r="AV3" s="2102"/>
      <c r="AW3" s="2102"/>
      <c r="AX3" s="2102"/>
      <c r="AY3" s="2102"/>
      <c r="AZ3" s="2102"/>
      <c r="BA3" s="2102"/>
      <c r="BB3" s="2103"/>
      <c r="BC3" s="1286" t="s">
        <v>391</v>
      </c>
      <c r="BE3" s="506"/>
      <c r="BF3" s="506" t="str">
        <f>IF(T3="","",T3)</f>
        <v>Территория действия тарифа</v>
      </c>
      <c r="BG3" s="506"/>
      <c r="BH3" s="506"/>
    </row>
    <row customHeight="1" ht="33.75" hidden="1">
      <c r="A4" s="1393"/>
      <c r="B4" s="1393"/>
      <c r="C4" s="1393"/>
      <c r="D4" s="1393"/>
      <c r="E4" s="2108"/>
      <c r="F4" s="2108"/>
      <c r="G4" s="2107">
        <v>1</v>
      </c>
      <c r="H4" s="1393"/>
      <c r="I4" s="1393"/>
      <c r="J4" s="1393"/>
      <c r="K4" s="1393"/>
      <c r="L4" s="1394"/>
      <c r="M4" s="1395"/>
      <c r="N4" s="1395"/>
      <c r="O4" s="1395"/>
      <c r="P4" s="1442"/>
      <c r="Q4" s="1441"/>
      <c r="R4" s="349"/>
      <c r="S4" s="1523">
        <f>INDEX(PT_DIFFERENTIATION_NUM_CS,MATCH(C4,PT_DIFFERENTIATION_CS_ID,0))</f>
      </c>
      <c r="T4" s="299" t="s">
        <v>509</v>
      </c>
      <c r="U4" s="288"/>
      <c r="V4" s="2102"/>
      <c r="W4" s="2102"/>
      <c r="X4" s="2102"/>
      <c r="Y4" s="2102"/>
      <c r="Z4" s="2102"/>
      <c r="AA4" s="2102"/>
      <c r="AB4" s="2102"/>
      <c r="AC4" s="2103"/>
      <c r="AD4" s="2101">
        <f>INDEX(PT_DIFFERENTIATION_CS,MATCH(C4,PT_DIFFERENTIATION_CS_ID,0))</f>
      </c>
      <c r="AE4" s="2102"/>
      <c r="AF4" s="2102"/>
      <c r="AG4" s="2102"/>
      <c r="AH4" s="2102"/>
      <c r="AI4" s="2102"/>
      <c r="AJ4" s="2102"/>
      <c r="AK4" s="2102"/>
      <c r="AL4" s="2102"/>
      <c r="AM4" s="2102"/>
      <c r="AN4" s="2102"/>
      <c r="AO4" s="2102"/>
      <c r="AP4" s="2102"/>
      <c r="AQ4" s="2102"/>
      <c r="AR4" s="2102"/>
      <c r="AS4" s="2102"/>
      <c r="AT4" s="2102"/>
      <c r="AU4" s="2102"/>
      <c r="AV4" s="2102"/>
      <c r="AW4" s="2102"/>
      <c r="AX4" s="2102"/>
      <c r="AY4" s="2102"/>
      <c r="AZ4" s="2102"/>
      <c r="BA4" s="2102"/>
      <c r="BB4" s="2103"/>
      <c r="BC4" s="1286" t="s">
        <v>510</v>
      </c>
      <c r="BE4" s="506"/>
      <c r="BF4" s="506" t="str">
        <f>IF(T4="","",T4)</f>
        <v>Наименование централизованной системы водоотведения</v>
      </c>
      <c r="BG4" s="506"/>
      <c r="BH4" s="506"/>
    </row>
    <row s="2612" customFormat="1" customHeight="1" ht="14.25" hidden="1">
      <c r="A5" s="1373"/>
      <c r="B5" s="1373"/>
      <c r="C5" s="1373"/>
      <c r="D5" s="1373"/>
      <c r="E5" s="2108"/>
      <c r="F5" s="2108"/>
      <c r="G5" s="2108"/>
      <c r="H5" s="2107">
        <v>1</v>
      </c>
      <c r="I5" s="1373"/>
      <c r="J5" s="1373"/>
      <c r="K5" s="1373"/>
      <c r="L5" s="1376"/>
      <c r="M5" s="1345"/>
      <c r="N5" s="1345"/>
      <c r="O5" s="1345"/>
      <c r="P5" s="1527"/>
      <c r="Q5" s="1528"/>
      <c r="R5" s="353"/>
      <c r="S5" s="1049"/>
      <c r="T5" s="1529"/>
      <c r="U5" s="1414"/>
      <c r="V5" s="2148"/>
      <c r="W5" s="2148"/>
      <c r="X5" s="2148"/>
      <c r="Y5" s="2148"/>
      <c r="Z5" s="2148"/>
      <c r="AA5" s="2148"/>
      <c r="AB5" s="2148"/>
      <c r="AC5" s="2149"/>
      <c r="AD5" s="2147"/>
      <c r="AE5" s="2148"/>
      <c r="AF5" s="2148"/>
      <c r="AG5" s="2148"/>
      <c r="AH5" s="2148"/>
      <c r="AI5" s="2148"/>
      <c r="AJ5" s="2148"/>
      <c r="AK5" s="2148"/>
      <c r="AL5" s="2148"/>
      <c r="AM5" s="2148"/>
      <c r="AN5" s="2148"/>
      <c r="AO5" s="2148"/>
      <c r="AP5" s="2148"/>
      <c r="AQ5" s="2148"/>
      <c r="AR5" s="2148"/>
      <c r="AS5" s="2148"/>
      <c r="AT5" s="2148"/>
      <c r="AU5" s="2148"/>
      <c r="AV5" s="2148"/>
      <c r="AW5" s="2148"/>
      <c r="AX5" s="2148"/>
      <c r="AY5" s="2148"/>
      <c r="AZ5" s="2148"/>
      <c r="BA5" s="2148"/>
      <c r="BB5" s="2149"/>
      <c r="BC5" s="1415" t="s">
        <v>395</v>
      </c>
      <c r="BE5" s="506"/>
      <c r="BF5" s="506" t="str">
        <f>IF(T5="","",T5)</f>
        <v/>
      </c>
      <c r="BG5" s="506"/>
      <c r="BH5" s="506"/>
    </row>
    <row s="2612" customFormat="1" customHeight="1" ht="14.25" hidden="1">
      <c r="A6" s="1373"/>
      <c r="B6" s="1373"/>
      <c r="C6" s="1373"/>
      <c r="D6" s="1373"/>
      <c r="E6" s="2108"/>
      <c r="F6" s="2108"/>
      <c r="G6" s="2108"/>
      <c r="H6" s="2108"/>
      <c r="I6" s="2109" t="str">
        <f>S5&amp;".1"</f>
        <v>.1</v>
      </c>
      <c r="J6" s="1373"/>
      <c r="K6" s="1373"/>
      <c r="L6" s="1376" t="s">
        <v>396</v>
      </c>
      <c r="M6" s="516"/>
      <c r="N6" s="516"/>
      <c r="O6" s="516"/>
      <c r="P6" s="2111">
        <v>1</v>
      </c>
      <c r="Q6" s="1511"/>
      <c r="R6" s="352"/>
      <c r="S6" s="1049"/>
      <c r="T6" s="1413"/>
      <c r="U6" s="1414"/>
      <c r="V6" s="2148"/>
      <c r="W6" s="2148"/>
      <c r="X6" s="2148"/>
      <c r="Y6" s="2148"/>
      <c r="Z6" s="2148"/>
      <c r="AA6" s="2148"/>
      <c r="AB6" s="2148"/>
      <c r="AC6" s="2149"/>
      <c r="AD6" s="2147"/>
      <c r="AE6" s="2148"/>
      <c r="AF6" s="2148"/>
      <c r="AG6" s="2148"/>
      <c r="AH6" s="2148"/>
      <c r="AI6" s="2148"/>
      <c r="AJ6" s="2148"/>
      <c r="AK6" s="2148"/>
      <c r="AL6" s="2148"/>
      <c r="AM6" s="2148"/>
      <c r="AN6" s="2148"/>
      <c r="AO6" s="2148"/>
      <c r="AP6" s="2148"/>
      <c r="AQ6" s="2148"/>
      <c r="AR6" s="2148"/>
      <c r="AS6" s="2148"/>
      <c r="AT6" s="2148"/>
      <c r="AU6" s="2148"/>
      <c r="AV6" s="2148"/>
      <c r="AW6" s="2148"/>
      <c r="AX6" s="2148"/>
      <c r="AY6" s="2148"/>
      <c r="AZ6" s="2148"/>
      <c r="BA6" s="2148"/>
      <c r="BB6" s="2149"/>
      <c r="BC6" s="1415"/>
      <c r="BE6" s="506"/>
      <c r="BF6" s="506" t="str">
        <f>IF(T6="","",T6)</f>
        <v/>
      </c>
      <c r="BG6" s="506"/>
      <c r="BH6" s="506"/>
    </row>
    <row s="2612" customFormat="1" customHeight="1" ht="14.25" hidden="1">
      <c r="A7" s="1373"/>
      <c r="B7" s="1373"/>
      <c r="C7" s="1373"/>
      <c r="D7" s="1373"/>
      <c r="E7" s="2108"/>
      <c r="F7" s="2108"/>
      <c r="G7" s="2108"/>
      <c r="H7" s="2108"/>
      <c r="I7" s="2110"/>
      <c r="J7" s="2109" t="str">
        <f>S5&amp;".1"</f>
        <v>.1</v>
      </c>
      <c r="K7" s="1373"/>
      <c r="L7" s="1376"/>
      <c r="M7" s="516"/>
      <c r="N7" s="516"/>
      <c r="O7" s="516"/>
      <c r="P7" s="2111"/>
      <c r="Q7" s="2111">
        <v>1</v>
      </c>
      <c r="R7" s="353"/>
      <c r="S7" s="1049"/>
      <c r="T7" s="1429"/>
      <c r="U7" s="1414"/>
      <c r="V7" s="2148"/>
      <c r="W7" s="2148"/>
      <c r="X7" s="2148"/>
      <c r="Y7" s="2148"/>
      <c r="Z7" s="2148"/>
      <c r="AA7" s="2148"/>
      <c r="AB7" s="2148"/>
      <c r="AC7" s="2149"/>
      <c r="AD7" s="2147"/>
      <c r="AE7" s="2148"/>
      <c r="AF7" s="2148"/>
      <c r="AG7" s="2148"/>
      <c r="AH7" s="2148"/>
      <c r="AI7" s="2148"/>
      <c r="AJ7" s="2148"/>
      <c r="AK7" s="2148"/>
      <c r="AL7" s="2148"/>
      <c r="AM7" s="2148"/>
      <c r="AN7" s="2148"/>
      <c r="AO7" s="2148"/>
      <c r="AP7" s="2148"/>
      <c r="AQ7" s="2148"/>
      <c r="AR7" s="2148"/>
      <c r="AS7" s="2148"/>
      <c r="AT7" s="2148"/>
      <c r="AU7" s="2148"/>
      <c r="AV7" s="2148"/>
      <c r="AW7" s="2148"/>
      <c r="AX7" s="2148"/>
      <c r="AY7" s="2148"/>
      <c r="AZ7" s="2148"/>
      <c r="BA7" s="2148"/>
      <c r="BB7" s="2149"/>
      <c r="BC7" s="1415"/>
      <c r="BE7" s="506"/>
      <c r="BF7" s="506" t="str">
        <f>IF(T7="","",T7)</f>
        <v/>
      </c>
      <c r="BG7" s="506"/>
      <c r="BH7" s="506"/>
    </row>
    <row customHeight="1" ht="11.25" hidden="1">
      <c r="A8" s="1393"/>
      <c r="B8" s="1393"/>
      <c r="C8" s="1393"/>
      <c r="D8" s="1393"/>
      <c r="E8" s="2108"/>
      <c r="F8" s="2108"/>
      <c r="G8" s="2108"/>
      <c r="H8" s="2108"/>
      <c r="I8" s="2110"/>
      <c r="J8" s="2110"/>
      <c r="K8" s="2109">
        <f>S4&amp;".1"</f>
      </c>
      <c r="L8" s="1394"/>
      <c r="P8" s="2111"/>
      <c r="Q8" s="2111"/>
      <c r="R8" s="2187">
        <v>1</v>
      </c>
      <c r="S8" s="2184">
        <f>$K8</f>
      </c>
      <c r="T8" s="2203"/>
      <c r="U8" s="288"/>
      <c r="V8" s="757"/>
      <c r="W8" s="1285"/>
      <c r="X8" s="757"/>
      <c r="Y8" s="1285"/>
      <c r="Z8" s="1774"/>
      <c r="AA8" s="1499" t="s">
        <v>61</v>
      </c>
      <c r="AB8" s="1774"/>
      <c r="AC8" s="1499" t="s">
        <v>61</v>
      </c>
      <c r="AD8" s="2044" t="s">
        <v>61</v>
      </c>
      <c r="AE8" s="2180"/>
      <c r="AF8" s="2057">
        <v>1</v>
      </c>
      <c r="AG8" s="2202"/>
      <c r="AH8" s="1981" t="s">
        <v>61</v>
      </c>
      <c r="AI8" s="2180"/>
      <c r="AJ8" s="2057">
        <v>1</v>
      </c>
      <c r="AK8" s="2201" t="s">
        <v>24</v>
      </c>
      <c r="AL8" s="1981" t="s">
        <v>61</v>
      </c>
      <c r="AM8" s="2029"/>
      <c r="AN8" s="2057">
        <v>1</v>
      </c>
      <c r="AO8" s="2206"/>
      <c r="AP8" s="2207" t="s">
        <v>61</v>
      </c>
      <c r="AQ8" s="301"/>
      <c r="AR8" s="1516">
        <v>1</v>
      </c>
      <c r="AS8" s="1522" t="s">
        <v>24</v>
      </c>
      <c r="AT8" s="757"/>
      <c r="AU8" s="1285"/>
      <c r="AV8" s="757"/>
      <c r="AW8" s="1285"/>
      <c r="AX8" s="1774"/>
      <c r="AY8" s="1499" t="s">
        <v>61</v>
      </c>
      <c r="AZ8" s="1774"/>
      <c r="BA8" s="1499" t="s">
        <v>61</v>
      </c>
      <c r="BB8" s="1378"/>
      <c r="BC8" s="2137" t="s">
        <v>494</v>
      </c>
      <c r="BE8" s="506"/>
      <c r="BF8" s="506" t="str">
        <f>IF(T8="","",T8)</f>
        <v/>
      </c>
      <c r="BG8" s="506"/>
      <c r="BH8" s="506"/>
    </row>
    <row customHeight="1" ht="11.25" hidden="1">
      <c r="A9" s="1393"/>
      <c r="B9" s="1393"/>
      <c r="C9" s="1393"/>
      <c r="D9" s="1393"/>
      <c r="E9" s="2108"/>
      <c r="F9" s="2108"/>
      <c r="G9" s="2108"/>
      <c r="H9" s="2108"/>
      <c r="I9" s="2110"/>
      <c r="J9" s="2110"/>
      <c r="K9" s="2109"/>
      <c r="L9" s="1394"/>
      <c r="P9" s="2111"/>
      <c r="Q9" s="2111"/>
      <c r="R9" s="2187"/>
      <c r="S9" s="2185"/>
      <c r="T9" s="2204"/>
      <c r="U9" s="288"/>
      <c r="V9" s="1423"/>
      <c r="W9" s="1526"/>
      <c r="X9" s="1423"/>
      <c r="Y9" s="1526"/>
      <c r="Z9" s="1423"/>
      <c r="AA9" s="1423"/>
      <c r="AB9" s="1423"/>
      <c r="AC9" s="1423"/>
      <c r="AD9" s="2045"/>
      <c r="AE9" s="2180"/>
      <c r="AF9" s="2057"/>
      <c r="AG9" s="2202"/>
      <c r="AH9" s="1981"/>
      <c r="AI9" s="2180"/>
      <c r="AJ9" s="2057"/>
      <c r="AK9" s="2201"/>
      <c r="AL9" s="1981"/>
      <c r="AM9" s="2037"/>
      <c r="AN9" s="2057"/>
      <c r="AO9" s="2206"/>
      <c r="AP9" s="2208"/>
      <c r="AQ9" s="308"/>
      <c r="AR9" s="422"/>
      <c r="AS9" s="422" t="s">
        <v>495</v>
      </c>
      <c r="AT9" s="1423"/>
      <c r="AU9" s="1526"/>
      <c r="AV9" s="1423"/>
      <c r="AW9" s="1526"/>
      <c r="AX9" s="1423"/>
      <c r="AY9" s="1423"/>
      <c r="AZ9" s="1423"/>
      <c r="BA9" s="1423"/>
      <c r="BB9" s="1427"/>
      <c r="BC9" s="2138"/>
      <c r="BE9" s="506"/>
      <c r="BF9" s="506"/>
      <c r="BG9" s="506"/>
      <c r="BH9" s="506"/>
    </row>
    <row customHeight="1" ht="11.25" hidden="1">
      <c r="A10" s="1393"/>
      <c r="B10" s="1393"/>
      <c r="C10" s="1393"/>
      <c r="D10" s="1393"/>
      <c r="E10" s="2108"/>
      <c r="F10" s="2108"/>
      <c r="G10" s="2108"/>
      <c r="H10" s="2108"/>
      <c r="I10" s="2110"/>
      <c r="J10" s="2110"/>
      <c r="K10" s="2109"/>
      <c r="L10" s="1394"/>
      <c r="P10" s="2111"/>
      <c r="Q10" s="2111"/>
      <c r="R10" s="2187"/>
      <c r="S10" s="2185"/>
      <c r="T10" s="2204"/>
      <c r="U10" s="288"/>
      <c r="V10" s="1423"/>
      <c r="W10" s="1526"/>
      <c r="X10" s="1423"/>
      <c r="Y10" s="1526"/>
      <c r="Z10" s="1423"/>
      <c r="AA10" s="1423"/>
      <c r="AB10" s="1423"/>
      <c r="AC10" s="1423"/>
      <c r="AD10" s="2045"/>
      <c r="AE10" s="2180"/>
      <c r="AF10" s="2057"/>
      <c r="AG10" s="2202"/>
      <c r="AH10" s="1981"/>
      <c r="AI10" s="2180"/>
      <c r="AJ10" s="2057"/>
      <c r="AK10" s="2201"/>
      <c r="AL10" s="1981"/>
      <c r="AM10" s="308"/>
      <c r="AN10" s="1530"/>
      <c r="AO10" s="1530" t="s">
        <v>515</v>
      </c>
      <c r="AP10" s="422"/>
      <c r="AQ10" s="422"/>
      <c r="AR10" s="422"/>
      <c r="AS10" s="1423"/>
      <c r="AT10" s="1423"/>
      <c r="AU10" s="1526"/>
      <c r="AV10" s="1423"/>
      <c r="AW10" s="1526"/>
      <c r="AX10" s="1423"/>
      <c r="AY10" s="1423"/>
      <c r="AZ10" s="1423"/>
      <c r="BA10" s="1423"/>
      <c r="BB10" s="1427"/>
      <c r="BC10" s="2138"/>
      <c r="BE10" s="506"/>
      <c r="BF10" s="506"/>
      <c r="BG10" s="506"/>
      <c r="BH10" s="506"/>
    </row>
    <row customHeight="1" ht="11.25" hidden="1">
      <c r="A11" s="1393"/>
      <c r="B11" s="1393"/>
      <c r="C11" s="1393"/>
      <c r="D11" s="1393"/>
      <c r="E11" s="2108"/>
      <c r="F11" s="2108"/>
      <c r="G11" s="2108"/>
      <c r="H11" s="2108"/>
      <c r="I11" s="2110"/>
      <c r="J11" s="2110"/>
      <c r="K11" s="2109"/>
      <c r="L11" s="1394"/>
      <c r="P11" s="2111"/>
      <c r="Q11" s="2111"/>
      <c r="R11" s="2187"/>
      <c r="S11" s="2185"/>
      <c r="T11" s="2204"/>
      <c r="U11" s="288"/>
      <c r="V11" s="1423"/>
      <c r="W11" s="1526"/>
      <c r="X11" s="1423"/>
      <c r="Y11" s="1526"/>
      <c r="Z11" s="1423"/>
      <c r="AA11" s="1423"/>
      <c r="AB11" s="1423"/>
      <c r="AC11" s="1423"/>
      <c r="AD11" s="2045"/>
      <c r="AE11" s="2180"/>
      <c r="AF11" s="2057"/>
      <c r="AG11" s="2202"/>
      <c r="AH11" s="1981"/>
      <c r="AI11" s="282"/>
      <c r="AJ11" s="421"/>
      <c r="AK11" s="303" t="s">
        <v>516</v>
      </c>
      <c r="AL11" s="1423"/>
      <c r="AM11" s="1423"/>
      <c r="AN11" s="1423"/>
      <c r="AO11" s="1423"/>
      <c r="AP11" s="1423"/>
      <c r="AQ11" s="1423"/>
      <c r="AR11" s="1423"/>
      <c r="AS11" s="1423"/>
      <c r="AT11" s="1423"/>
      <c r="AU11" s="1526"/>
      <c r="AV11" s="1423"/>
      <c r="AW11" s="1526"/>
      <c r="AX11" s="1423"/>
      <c r="AY11" s="1423"/>
      <c r="AZ11" s="1423"/>
      <c r="BA11" s="1423"/>
      <c r="BB11" s="1427"/>
      <c r="BC11" s="2138"/>
      <c r="BE11" s="506"/>
      <c r="BF11" s="506"/>
      <c r="BG11" s="506"/>
      <c r="BH11" s="506"/>
    </row>
    <row customHeight="1" ht="11.25" hidden="1">
      <c r="A12" s="1393"/>
      <c r="B12" s="1393"/>
      <c r="C12" s="1393"/>
      <c r="D12" s="1393"/>
      <c r="E12" s="2108"/>
      <c r="F12" s="2108"/>
      <c r="G12" s="2108"/>
      <c r="H12" s="2108"/>
      <c r="I12" s="2110"/>
      <c r="J12" s="2110"/>
      <c r="K12" s="2109"/>
      <c r="L12" s="1394"/>
      <c r="P12" s="2111"/>
      <c r="Q12" s="2111"/>
      <c r="R12" s="2187"/>
      <c r="S12" s="2186"/>
      <c r="T12" s="2205"/>
      <c r="U12" s="288"/>
      <c r="V12" s="1423"/>
      <c r="W12" s="1424" t="str">
        <f>Z8&amp;"-"&amp;AB8</f>
        <v>-</v>
      </c>
      <c r="X12" s="1423"/>
      <c r="Y12" s="1424" t="str">
        <f>AB8&amp;"-"&amp;AD8</f>
        <v>-да</v>
      </c>
      <c r="Z12" s="1423"/>
      <c r="AA12" s="1423"/>
      <c r="AB12" s="1423"/>
      <c r="AC12" s="1423"/>
      <c r="AD12" s="1986"/>
      <c r="AE12" s="302"/>
      <c r="AF12" s="304"/>
      <c r="AG12" s="422" t="s">
        <v>498</v>
      </c>
      <c r="AH12" s="1423"/>
      <c r="AI12" s="1423"/>
      <c r="AJ12" s="1423"/>
      <c r="AK12" s="1423"/>
      <c r="AL12" s="1423"/>
      <c r="AM12" s="1423"/>
      <c r="AN12" s="1423"/>
      <c r="AO12" s="1423"/>
      <c r="AP12" s="1423"/>
      <c r="AQ12" s="1423"/>
      <c r="AR12" s="1423"/>
      <c r="AS12" s="1423"/>
      <c r="AT12" s="1423"/>
      <c r="AU12" s="1424" t="str">
        <f>AX8&amp;"-"&amp;AZ8</f>
        <v>-</v>
      </c>
      <c r="AV12" s="1423"/>
      <c r="AW12" s="1424" t="str">
        <f>AZ8&amp;"-"&amp;BB8</f>
        <v>-</v>
      </c>
      <c r="AX12" s="1423"/>
      <c r="AY12" s="1423"/>
      <c r="AZ12" s="1423"/>
      <c r="BA12" s="1423"/>
      <c r="BB12" s="1426" t="str">
        <f>BE8&amp;"-"&amp;BG8</f>
        <v>-</v>
      </c>
      <c r="BC12" s="2138"/>
      <c r="BE12" s="506"/>
      <c r="BF12" s="506" t="str">
        <f>IF(T12="","",T12)</f>
        <v/>
      </c>
      <c r="BG12" s="506"/>
      <c r="BH12" s="506"/>
    </row>
    <row customHeight="1" ht="11.25" hidden="1">
      <c r="A13" s="1393"/>
      <c r="B13" s="1393"/>
      <c r="C13" s="1393"/>
      <c r="D13" s="1393"/>
      <c r="E13" s="2108"/>
      <c r="F13" s="2108"/>
      <c r="G13" s="2108"/>
      <c r="H13" s="2108"/>
      <c r="I13" s="2110"/>
      <c r="J13" s="2109"/>
      <c r="K13" s="1393"/>
      <c r="L13" s="1394"/>
      <c r="P13" s="2111"/>
      <c r="Q13" s="2111"/>
      <c r="R13" s="352"/>
      <c r="S13" s="1308"/>
      <c r="T13" s="275" t="s">
        <v>462</v>
      </c>
      <c r="U13" s="367"/>
      <c r="V13" s="367"/>
      <c r="W13" s="367"/>
      <c r="X13" s="367"/>
      <c r="Y13" s="367"/>
      <c r="Z13" s="367"/>
      <c r="AA13" s="367"/>
      <c r="AB13" s="367"/>
      <c r="AC13" s="367"/>
      <c r="AD13" s="153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9"/>
      <c r="BE13" s="506"/>
      <c r="BF13" s="506" t="str">
        <f>IF(T13="","",T13)</f>
        <v>Добавить строку</v>
      </c>
      <c r="BG13" s="506"/>
      <c r="BH13" s="506"/>
    </row>
    <row s="2612" customFormat="1" customHeight="1" ht="14.25" hidden="1">
      <c r="A14" s="1373"/>
      <c r="B14" s="1373"/>
      <c r="C14" s="1373"/>
      <c r="D14" s="1373"/>
      <c r="E14" s="2108"/>
      <c r="F14" s="2108"/>
      <c r="G14" s="2108"/>
      <c r="H14" s="2108"/>
      <c r="I14" s="2109"/>
      <c r="J14" s="1373"/>
      <c r="K14" s="1373"/>
      <c r="L14" s="1376"/>
      <c r="M14" s="516"/>
      <c r="N14" s="516"/>
      <c r="O14" s="516"/>
      <c r="P14" s="2111"/>
      <c r="Q14" s="1511"/>
      <c r="R14" s="352"/>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8"/>
      <c r="AV14" s="1418"/>
      <c r="AW14" s="1418"/>
      <c r="AX14" s="1418"/>
      <c r="AY14" s="1418"/>
      <c r="AZ14" s="1418"/>
      <c r="BA14" s="1418"/>
      <c r="BB14" s="1418"/>
      <c r="BC14" s="1419"/>
      <c r="BE14" s="506"/>
      <c r="BF14" s="506" t="str">
        <f>IF(T14="","",T14)</f>
        <v/>
      </c>
      <c r="BG14" s="506"/>
      <c r="BH14" s="506"/>
    </row>
    <row s="2612" customFormat="1" customHeight="1" ht="14.25" hidden="1">
      <c r="A15" s="1373"/>
      <c r="B15" s="1373"/>
      <c r="C15" s="1373"/>
      <c r="D15" s="1373"/>
      <c r="E15" s="2108"/>
      <c r="F15" s="2108"/>
      <c r="G15" s="2108"/>
      <c r="H15" s="2107"/>
      <c r="I15" s="1373"/>
      <c r="J15" s="1373"/>
      <c r="K15" s="1373"/>
      <c r="L15" s="1376"/>
      <c r="M15" s="1345"/>
      <c r="N15" s="1345"/>
      <c r="O15" s="524"/>
      <c r="P15" s="385"/>
      <c r="Q15" s="1374"/>
      <c r="R15" s="1431"/>
      <c r="S15" s="1416"/>
      <c r="T15" s="1417"/>
      <c r="U15" s="1418"/>
      <c r="V15" s="1418"/>
      <c r="W15" s="1418"/>
      <c r="X15" s="1418"/>
      <c r="Y15" s="1418"/>
      <c r="Z15" s="1418"/>
      <c r="AA15" s="1418"/>
      <c r="AB15" s="1418"/>
      <c r="AC15" s="1418"/>
      <c r="AD15" s="1418"/>
      <c r="AE15" s="1418"/>
      <c r="AF15" s="1418"/>
      <c r="AG15" s="1418"/>
      <c r="AH15" s="1418"/>
      <c r="AI15" s="1418"/>
      <c r="AJ15" s="1418"/>
      <c r="AK15" s="1418"/>
      <c r="AL15" s="1418"/>
      <c r="AM15" s="1418"/>
      <c r="AN15" s="1418"/>
      <c r="AO15" s="1418"/>
      <c r="AP15" s="1418"/>
      <c r="AQ15" s="1418"/>
      <c r="AR15" s="1418"/>
      <c r="AS15" s="1418"/>
      <c r="AT15" s="1418"/>
      <c r="AU15" s="1418"/>
      <c r="AV15" s="1418"/>
      <c r="AW15" s="1418"/>
      <c r="AX15" s="1418"/>
      <c r="AY15" s="1418"/>
      <c r="AZ15" s="1418"/>
      <c r="BA15" s="1418"/>
      <c r="BB15" s="1418"/>
      <c r="BC15" s="1419"/>
      <c r="BE15" s="506"/>
      <c r="BF15" s="506" t="str">
        <f>IF(T15="","",T15)</f>
        <v/>
      </c>
      <c r="BG15" s="506"/>
      <c r="BH15" s="506"/>
    </row>
    <row s="3274" customFormat="1" customHeight="1" ht="14.25" hidden="1">
      <c r="A16" s="1373"/>
      <c r="B16" s="1373"/>
      <c r="C16" s="1373"/>
      <c r="D16" s="1344"/>
      <c r="E16" s="2108"/>
      <c r="F16" s="2108"/>
      <c r="G16" s="2107"/>
      <c r="H16" s="1344"/>
      <c r="I16" s="1344"/>
      <c r="J16" s="1344"/>
      <c r="K16" s="1344"/>
      <c r="L16" s="1524"/>
      <c r="M16" s="1345"/>
      <c r="N16" s="1345"/>
      <c r="P16" s="1346"/>
      <c r="Q16" s="1347"/>
      <c r="R16" s="1346"/>
      <c r="S16" s="1352"/>
      <c r="T16" s="1355"/>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V16" s="1354"/>
      <c r="AW16" s="1354"/>
      <c r="AX16" s="1354"/>
      <c r="AY16" s="1354"/>
      <c r="AZ16" s="1354"/>
      <c r="BA16" s="1354"/>
      <c r="BB16" s="1354"/>
      <c r="BC16" s="1354"/>
      <c r="BE16" s="795"/>
      <c r="BF16" s="795" t="str">
        <f>IF(T16="","",T16)</f>
        <v/>
      </c>
      <c r="BG16" s="795"/>
      <c r="BH16" s="795"/>
    </row>
    <row s="3274" customFormat="1" customHeight="1" ht="14.25" hidden="1">
      <c r="A17" s="1373"/>
      <c r="B17" s="1373"/>
      <c r="C17" s="1344"/>
      <c r="D17" s="1344"/>
      <c r="E17" s="2108"/>
      <c r="F17" s="2107"/>
      <c r="G17" s="1344"/>
      <c r="H17" s="1344"/>
      <c r="I17" s="1344"/>
      <c r="J17" s="1344"/>
      <c r="K17" s="1344"/>
      <c r="L17" s="1524"/>
      <c r="M17" s="1351"/>
      <c r="N17" s="1351"/>
      <c r="P17" s="1346"/>
      <c r="Q17" s="1347"/>
      <c r="R17" s="1346"/>
      <c r="S17" s="1352"/>
      <c r="T17" s="1355" t="s">
        <v>168</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V17" s="1354"/>
      <c r="AW17" s="1354"/>
      <c r="AX17" s="1354"/>
      <c r="AY17" s="1354"/>
      <c r="AZ17" s="1354"/>
      <c r="BA17" s="1354"/>
      <c r="BB17" s="1354"/>
      <c r="BC17" s="1354"/>
      <c r="BE17" s="795"/>
      <c r="BF17" s="795" t="str">
        <f>IF(T17="","",T17)</f>
        <v>Добавить централизованную систему для дифференциации</v>
      </c>
      <c r="BG17" s="795"/>
      <c r="BH17" s="795"/>
    </row>
    <row s="2612" customFormat="1" customHeight="1" ht="14.25" hidden="1">
      <c r="A18" s="1373"/>
      <c r="B18" s="1373"/>
      <c r="C18" s="1373"/>
      <c r="D18" s="1373"/>
      <c r="E18" s="2107"/>
      <c r="F18" s="1373"/>
      <c r="G18" s="1373"/>
      <c r="H18" s="1373"/>
      <c r="I18" s="1373"/>
      <c r="J18" s="1373"/>
      <c r="K18" s="1373"/>
      <c r="L18" s="1376"/>
      <c r="M18" s="1351"/>
      <c r="N18" s="1351"/>
      <c r="O18" s="524"/>
      <c r="P18" s="385"/>
      <c r="Q18" s="1374"/>
      <c r="R18" s="385"/>
      <c r="S18" s="1352"/>
      <c r="T18" s="1355" t="s">
        <v>169</v>
      </c>
      <c r="U18" s="1354"/>
      <c r="V18" s="1354"/>
      <c r="W18" s="1354"/>
      <c r="X18" s="1354"/>
      <c r="Y18" s="1354"/>
      <c r="Z18" s="1354"/>
      <c r="AA18" s="1354"/>
      <c r="AB18" s="1354"/>
      <c r="AC18" s="1354"/>
      <c r="AD18" s="1354"/>
      <c r="AE18" s="1354"/>
      <c r="AF18" s="1354"/>
      <c r="AG18" s="1354"/>
      <c r="AH18" s="1354"/>
      <c r="AI18" s="1354"/>
      <c r="AJ18" s="1354"/>
      <c r="AK18" s="1354"/>
      <c r="AL18" s="1354"/>
      <c r="AM18" s="1354"/>
      <c r="AN18" s="1354"/>
      <c r="AO18" s="1354"/>
      <c r="AP18" s="1354"/>
      <c r="AQ18" s="1354"/>
      <c r="AR18" s="1354"/>
      <c r="AS18" s="1354"/>
      <c r="AT18" s="1354"/>
      <c r="AU18" s="1354"/>
      <c r="AV18" s="1354"/>
      <c r="AW18" s="1354"/>
      <c r="AX18" s="1354"/>
      <c r="AY18" s="1354"/>
      <c r="AZ18" s="1354"/>
      <c r="BA18" s="1354"/>
      <c r="BB18" s="1354"/>
      <c r="BC18" s="1354"/>
      <c r="BE18" s="506"/>
      <c r="BF18" s="506" t="str">
        <f>IF(T18="","",T18)</f>
        <v>Добавить территорию для дифференциации</v>
      </c>
      <c r="BG18" s="506"/>
      <c r="BH18" s="506"/>
    </row>
    <row customHeight="1" ht="14.25" hidden="1">
      <c r="AC19" s="323"/>
      <c r="BA19" s="323"/>
    </row>
    <row customHeight="1" ht="14.25" hidden="1">
      <c r="AD20" s="1354" t="s">
        <v>56</v>
      </c>
      <c r="AE20" s="1531"/>
      <c r="AF20" s="554">
        <v>1</v>
      </c>
      <c r="AG20" s="1532"/>
      <c r="AH20" s="1354" t="s">
        <v>56</v>
      </c>
      <c r="AI20" s="1531"/>
      <c r="AJ20" s="554">
        <v>1</v>
      </c>
      <c r="AK20" s="1532"/>
      <c r="AL20" s="1354" t="s">
        <v>56</v>
      </c>
      <c r="AM20" s="1533"/>
      <c r="AN20" s="554">
        <v>1</v>
      </c>
      <c r="AO20" s="1534"/>
      <c r="AP20" s="1354" t="s">
        <v>56</v>
      </c>
      <c r="AQ20" s="1533"/>
      <c r="AR20" s="554">
        <v>1</v>
      </c>
      <c r="AS20" s="1534"/>
      <c r="AT20" s="320"/>
      <c r="AU20" s="390"/>
      <c r="AV20" s="320"/>
      <c r="AW20" s="390"/>
      <c r="AX20" s="1776"/>
      <c r="AY20" s="1515" t="s">
        <v>61</v>
      </c>
      <c r="AZ20" s="1776"/>
      <c r="BA20" s="1515" t="s">
        <v>61</v>
      </c>
    </row>
    <row customHeight="1" ht="14.25" hidden="1">
      <c r="BD21" s="502"/>
      <c r="BE21" s="502"/>
      <c r="BF21" s="502"/>
      <c r="BG21" s="502"/>
      <c r="BH21" s="502"/>
    </row>
    <row customHeight="1" ht="14.25" hidden="1">
      <c r="O22" s="1397" t="s">
        <v>407</v>
      </c>
      <c r="Z22" s="1375"/>
      <c r="AB22" s="1375"/>
      <c r="AC22" s="323"/>
      <c r="AX22" s="1375"/>
      <c r="AZ22" s="1375"/>
      <c r="BA22" s="323"/>
      <c r="BD22" s="502"/>
      <c r="BE22" s="502"/>
      <c r="BF22" s="502"/>
      <c r="BG22" s="502"/>
      <c r="BH22" s="502"/>
    </row>
    <row customHeight="1" ht="14.25" hidden="1">
      <c r="AC23" s="323"/>
      <c r="BA23" s="323"/>
      <c r="BD23" s="502"/>
      <c r="BE23" s="502"/>
      <c r="BF23" s="502"/>
      <c r="BG23" s="502"/>
      <c r="BH23" s="502"/>
    </row>
    <row s="3922" customFormat="1" customHeight="1" ht="14.25" hidden="1">
      <c r="M24" s="1538"/>
      <c r="N24" s="1538"/>
      <c r="O24" s="1539" t="s">
        <v>408</v>
      </c>
      <c r="P24" s="1538"/>
      <c r="Q24" s="1540"/>
      <c r="R24" s="1540"/>
      <c r="AA24" s="1537" t="s">
        <v>410</v>
      </c>
      <c r="AC24" s="1537" t="s">
        <v>411</v>
      </c>
      <c r="AD24" s="1537" t="s">
        <v>463</v>
      </c>
      <c r="AH24" s="1537" t="s">
        <v>463</v>
      </c>
      <c r="AK24" s="1537" t="s">
        <v>499</v>
      </c>
      <c r="AL24" s="1537" t="s">
        <v>463</v>
      </c>
      <c r="AP24" s="1537" t="s">
        <v>463</v>
      </c>
      <c r="AY24" s="1537" t="s">
        <v>410</v>
      </c>
      <c r="BA24" s="1537" t="s">
        <v>411</v>
      </c>
      <c r="BD24" s="1541"/>
      <c r="BE24" s="1541"/>
      <c r="BF24" s="1541"/>
      <c r="BG24" s="1541"/>
      <c r="BH24" s="1541"/>
    </row>
    <row customHeight="1" ht="14.25" hidden="1">
      <c r="O25" s="1394"/>
      <c r="BD25" s="502"/>
      <c r="BE25" s="502"/>
      <c r="BF25" s="502"/>
      <c r="BG25" s="502"/>
      <c r="BH25" s="502"/>
    </row>
    <row customHeight="1" ht="14.25" hidden="1">
      <c r="O26" s="1394"/>
      <c r="BD26" s="502"/>
      <c r="BE26" s="502"/>
      <c r="BF26" s="502"/>
      <c r="BG26" s="502"/>
      <c r="BH26" s="502"/>
    </row>
    <row customHeight="1" ht="14.25">
      <c r="Q27" s="279"/>
      <c r="R27" s="377"/>
      <c r="S27" s="1305"/>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40"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140"/>
      <c r="U28" s="2140"/>
      <c r="V28" s="2140"/>
      <c r="W28" s="2140"/>
      <c r="X28" s="2140"/>
      <c r="Y28" s="2140"/>
      <c r="Z28" s="2140"/>
      <c r="AA28" s="2140"/>
      <c r="AB28" s="2140"/>
      <c r="AC28" s="2140"/>
      <c r="AD28" s="2140"/>
      <c r="AE28" s="2140"/>
      <c r="AF28" s="2140"/>
      <c r="AG28" s="2140"/>
      <c r="AH28" s="2140"/>
      <c r="AI28" s="2140"/>
      <c r="AJ28" s="2140"/>
      <c r="AK28" s="2140"/>
      <c r="AL28" s="2140"/>
      <c r="AM28" s="2140"/>
      <c r="AN28" s="2140"/>
      <c r="AO28" s="2140"/>
      <c r="AP28" s="2140"/>
      <c r="AQ28" s="2140"/>
      <c r="AR28" s="2140"/>
      <c r="AS28" s="2140"/>
      <c r="AT28" s="2140"/>
      <c r="AU28" s="2140"/>
      <c r="AV28" s="2140"/>
      <c r="AW28" s="2140"/>
      <c r="AX28" s="2140"/>
      <c r="AY28" s="2140"/>
      <c r="AZ28" s="2140"/>
      <c r="BA28" s="1261"/>
    </row>
    <row customHeight="1" ht="14.25">
      <c r="Q29" s="279"/>
      <c r="R29" s="377"/>
      <c r="S29" s="2141" t="str">
        <f>IF(org=0,"Не определено",org)</f>
        <v>МУП г. Азова "Теплоэнерго"</v>
      </c>
      <c r="T29" s="2141"/>
      <c r="U29" s="2141"/>
      <c r="V29" s="2141"/>
      <c r="W29" s="2141"/>
      <c r="X29" s="2141"/>
      <c r="Y29" s="2141"/>
      <c r="Z29" s="2141"/>
      <c r="AA29" s="2141"/>
      <c r="AB29" s="2141"/>
      <c r="AC29" s="2141"/>
      <c r="AD29" s="2141"/>
      <c r="AE29" s="2141"/>
      <c r="AF29" s="2141"/>
      <c r="AG29" s="2141"/>
      <c r="AH29" s="2141"/>
      <c r="AI29" s="2141"/>
      <c r="AJ29" s="2141"/>
      <c r="AK29" s="2141"/>
      <c r="AL29" s="2141"/>
      <c r="AM29" s="2141"/>
      <c r="AN29" s="2141"/>
      <c r="AO29" s="2141"/>
      <c r="AP29" s="2141"/>
      <c r="AQ29" s="2141"/>
      <c r="AR29" s="2141"/>
      <c r="AS29" s="2141"/>
      <c r="AT29" s="2141"/>
      <c r="AU29" s="2141"/>
      <c r="AV29" s="2141"/>
      <c r="AW29" s="2141"/>
      <c r="AX29" s="2141"/>
      <c r="AY29" s="2141"/>
      <c r="AZ29" s="2141"/>
      <c r="BA29" s="1261"/>
    </row>
    <row customHeight="1" ht="14.25">
      <c r="Q30" s="279"/>
      <c r="R30" s="377"/>
      <c r="S30" s="1305"/>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306" customFormat="1" customHeight="1" ht="25.5">
      <c r="A31" s="1398"/>
      <c r="B31" s="1398"/>
      <c r="C31" s="1398"/>
      <c r="D31" s="1398"/>
      <c r="E31" s="1398"/>
      <c r="F31" s="1398"/>
      <c r="G31" s="1398"/>
      <c r="H31" s="1398"/>
      <c r="I31" s="1398"/>
      <c r="J31" s="1398"/>
      <c r="K31" s="1398"/>
      <c r="L31" s="1399"/>
      <c r="M31" s="1398"/>
      <c r="N31" s="1398"/>
      <c r="O31" s="1398"/>
      <c r="P31" s="1398"/>
      <c r="Q31" s="1398"/>
      <c r="S31" s="2098" t="s">
        <v>38</v>
      </c>
      <c r="T31" s="2098"/>
      <c r="U31" s="1402"/>
      <c r="V31" s="2100" t="str">
        <f>IF(TITLE_NAME_OR_PR_CHANGE="",IF(TITLE_NAME_OR_PR="","",TITLE_NAME_OR_PR),TITLE_NAME_OR_PR_CHANGE)</f>
        <v>Региональная служба по тарифам Ростовской области</v>
      </c>
      <c r="W31" s="2100"/>
      <c r="X31" s="2100"/>
      <c r="Y31" s="2100"/>
      <c r="Z31" s="2100"/>
      <c r="AA31" s="2100"/>
      <c r="AB31" s="2100"/>
      <c r="AC31" s="322"/>
      <c r="AD31" s="2100" t="str">
        <f>IF(TITLE_NAME_OR_PR_CHANGE="",IF(TITLE_NAME_OR_PR="","",TITLE_NAME_OR_PR),TITLE_NAME_OR_PR_CHANGE)</f>
        <v>Региональная служба по тарифам Ростовской области</v>
      </c>
      <c r="AE31" s="2100"/>
      <c r="AF31" s="2100"/>
      <c r="AG31" s="2100"/>
      <c r="AH31" s="2100"/>
      <c r="AI31" s="2100"/>
      <c r="AJ31" s="2100"/>
      <c r="AK31" s="2100"/>
      <c r="AL31" s="2100"/>
      <c r="AM31" s="2100"/>
      <c r="AN31" s="2100"/>
      <c r="AO31" s="2100"/>
      <c r="AP31" s="2100"/>
      <c r="AQ31" s="2100"/>
      <c r="AR31" s="2100"/>
      <c r="AS31" s="2100"/>
      <c r="AT31" s="2100"/>
      <c r="AU31" s="2100"/>
      <c r="AV31" s="2100"/>
      <c r="AW31" s="2100"/>
      <c r="AX31" s="2100"/>
      <c r="AY31" s="2100"/>
      <c r="AZ31" s="2100"/>
      <c r="BA31" s="322"/>
      <c r="BB31" s="322"/>
      <c r="BC31" s="268"/>
      <c r="BD31" s="368"/>
      <c r="BE31" s="368"/>
      <c r="BF31" s="368"/>
      <c r="BG31" s="368"/>
      <c r="BH31" s="368"/>
    </row>
    <row s="3306" customFormat="1" customHeight="1" ht="18.75">
      <c r="A32" s="1398"/>
      <c r="B32" s="1398"/>
      <c r="C32" s="1398"/>
      <c r="D32" s="1398"/>
      <c r="E32" s="1398"/>
      <c r="F32" s="1398"/>
      <c r="G32" s="1398"/>
      <c r="H32" s="1398"/>
      <c r="I32" s="1398"/>
      <c r="J32" s="1398"/>
      <c r="K32" s="1398"/>
      <c r="L32" s="1399"/>
      <c r="M32" s="1398"/>
      <c r="N32" s="1398"/>
      <c r="O32" s="1398"/>
      <c r="P32" s="1398"/>
      <c r="Q32" s="1398"/>
      <c r="S32" s="2098" t="s">
        <v>413</v>
      </c>
      <c r="T32" s="2098"/>
      <c r="U32" s="1402"/>
      <c r="V32" s="2099" t="str">
        <f>IF(TITLE_DATE_PR_CHANGE="",IF(TITLE_DATE_PR="","",TITLE_DATE_PR),TITLE_DATE_PR_CHANGE)</f>
        <v>45245.61800925926</v>
      </c>
      <c r="W32" s="2099"/>
      <c r="X32" s="2099"/>
      <c r="Y32" s="2099"/>
      <c r="Z32" s="2099"/>
      <c r="AA32" s="2099"/>
      <c r="AB32" s="2099"/>
      <c r="AC32" s="322"/>
      <c r="AD32" s="2099" t="str">
        <f>IF(TITLE_DATE_PR_CHANGE="",IF(TITLE_DATE_PR="","",TITLE_DATE_PR),TITLE_DATE_PR_CHANGE)</f>
        <v>45245.61800925926</v>
      </c>
      <c r="AE32" s="2099"/>
      <c r="AF32" s="2099"/>
      <c r="AG32" s="2099"/>
      <c r="AH32" s="2099"/>
      <c r="AI32" s="2099"/>
      <c r="AJ32" s="2099"/>
      <c r="AK32" s="2099"/>
      <c r="AL32" s="2099"/>
      <c r="AM32" s="2099"/>
      <c r="AN32" s="2099"/>
      <c r="AO32" s="2099"/>
      <c r="AP32" s="2099"/>
      <c r="AQ32" s="2099"/>
      <c r="AR32" s="2099"/>
      <c r="AS32" s="2099"/>
      <c r="AT32" s="2099"/>
      <c r="AU32" s="2099"/>
      <c r="AV32" s="2099"/>
      <c r="AW32" s="2099"/>
      <c r="AX32" s="2099"/>
      <c r="AY32" s="2099"/>
      <c r="AZ32" s="2099"/>
      <c r="BA32" s="322"/>
      <c r="BB32" s="322"/>
      <c r="BC32" s="268"/>
      <c r="BD32" s="368"/>
      <c r="BE32" s="368"/>
      <c r="BF32" s="368"/>
      <c r="BG32" s="368"/>
      <c r="BH32" s="368"/>
    </row>
    <row s="3306" customFormat="1" customHeight="1" ht="18.75">
      <c r="A33" s="1398"/>
      <c r="B33" s="1398"/>
      <c r="C33" s="1398"/>
      <c r="D33" s="1398"/>
      <c r="E33" s="1398"/>
      <c r="F33" s="1398"/>
      <c r="G33" s="1398"/>
      <c r="H33" s="1398"/>
      <c r="I33" s="1398"/>
      <c r="J33" s="1398"/>
      <c r="K33" s="1398"/>
      <c r="L33" s="1399"/>
      <c r="M33" s="1398"/>
      <c r="N33" s="1398"/>
      <c r="O33" s="1398"/>
      <c r="P33" s="1398"/>
      <c r="Q33" s="1398"/>
      <c r="S33" s="2098" t="s">
        <v>414</v>
      </c>
      <c r="T33" s="2098"/>
      <c r="U33" s="1402"/>
      <c r="V33" s="2100" t="str">
        <f>IF(TITLE_NUMBER_PR_CHANGE="",IF(TITLE_NUMBER_PR="","",TITLE_NUMBER_PR),TITLE_NUMBER_PR_CHANGE)</f>
        <v>550</v>
      </c>
      <c r="W33" s="2100"/>
      <c r="X33" s="2100"/>
      <c r="Y33" s="2100"/>
      <c r="Z33" s="2100"/>
      <c r="AA33" s="2100"/>
      <c r="AB33" s="2100"/>
      <c r="AC33" s="322"/>
      <c r="AD33" s="2100" t="str">
        <f>IF(TITLE_NUMBER_PR_CHANGE="",IF(TITLE_NUMBER_PR="","",TITLE_NUMBER_PR),TITLE_NUMBER_PR_CHANGE)</f>
        <v>550</v>
      </c>
      <c r="AE33" s="2100"/>
      <c r="AF33" s="2100"/>
      <c r="AG33" s="2100"/>
      <c r="AH33" s="2100"/>
      <c r="AI33" s="2100"/>
      <c r="AJ33" s="2100"/>
      <c r="AK33" s="2100"/>
      <c r="AL33" s="2100"/>
      <c r="AM33" s="2100"/>
      <c r="AN33" s="2100"/>
      <c r="AO33" s="2100"/>
      <c r="AP33" s="2100"/>
      <c r="AQ33" s="2100"/>
      <c r="AR33" s="2100"/>
      <c r="AS33" s="2100"/>
      <c r="AT33" s="2100"/>
      <c r="AU33" s="2100"/>
      <c r="AV33" s="2100"/>
      <c r="AW33" s="2100"/>
      <c r="AX33" s="2100"/>
      <c r="AY33" s="2100"/>
      <c r="AZ33" s="2100"/>
      <c r="BA33" s="322"/>
      <c r="BB33" s="322"/>
      <c r="BC33" s="268"/>
      <c r="BD33" s="368"/>
      <c r="BE33" s="368"/>
      <c r="BF33" s="368"/>
      <c r="BG33" s="368"/>
      <c r="BH33" s="368"/>
    </row>
    <row s="3306" customFormat="1" customHeight="1" ht="18.75">
      <c r="A34" s="1398"/>
      <c r="B34" s="1398"/>
      <c r="C34" s="1398"/>
      <c r="D34" s="1398"/>
      <c r="E34" s="1398"/>
      <c r="F34" s="1398"/>
      <c r="G34" s="1398"/>
      <c r="H34" s="1398"/>
      <c r="I34" s="1398"/>
      <c r="J34" s="1398"/>
      <c r="K34" s="1398"/>
      <c r="L34" s="1399"/>
      <c r="M34" s="1398"/>
      <c r="N34" s="1398"/>
      <c r="O34" s="1398"/>
      <c r="P34" s="1398"/>
      <c r="Q34" s="1398"/>
      <c r="S34" s="2098" t="s">
        <v>40</v>
      </c>
      <c r="T34" s="2098"/>
      <c r="U34" s="1402"/>
      <c r="V34" s="2100" t="str">
        <f>IF(TITLE_IST_PUB_CHANGE="",IF(TITLE_IST_PUB="","",TITLE_IST_PUB),TITLE_IST_PUB_CHANGE)</f>
        <v>https://rst.donland.ru</v>
      </c>
      <c r="W34" s="2100"/>
      <c r="X34" s="2100"/>
      <c r="Y34" s="2100"/>
      <c r="Z34" s="2100"/>
      <c r="AA34" s="2100"/>
      <c r="AB34" s="2100"/>
      <c r="AC34" s="322"/>
      <c r="AD34" s="2100" t="str">
        <f>IF(TITLE_IST_PUB_CHANGE="",IF(TITLE_IST_PUB="","",TITLE_IST_PUB),TITLE_IST_PUB_CHANGE)</f>
        <v>https://rst.donland.ru</v>
      </c>
      <c r="AE34" s="2100"/>
      <c r="AF34" s="2100"/>
      <c r="AG34" s="2100"/>
      <c r="AH34" s="2100"/>
      <c r="AI34" s="2100"/>
      <c r="AJ34" s="2100"/>
      <c r="AK34" s="2100"/>
      <c r="AL34" s="2100"/>
      <c r="AM34" s="2100"/>
      <c r="AN34" s="2100"/>
      <c r="AO34" s="2100"/>
      <c r="AP34" s="2100"/>
      <c r="AQ34" s="2100"/>
      <c r="AR34" s="2100"/>
      <c r="AS34" s="2100"/>
      <c r="AT34" s="2100"/>
      <c r="AU34" s="2100"/>
      <c r="AV34" s="2100"/>
      <c r="AW34" s="2100"/>
      <c r="AX34" s="2100"/>
      <c r="AY34" s="2100"/>
      <c r="AZ34" s="2100"/>
      <c r="BA34" s="322"/>
      <c r="BB34" s="322"/>
      <c r="BC34" s="268"/>
      <c r="BD34" s="368"/>
      <c r="BE34" s="368"/>
      <c r="BF34" s="368"/>
      <c r="BG34" s="368"/>
      <c r="BH34" s="368"/>
    </row>
    <row customHeight="1" ht="14.25" hidden="1">
      <c r="Q35" s="279"/>
      <c r="R35" s="377"/>
      <c r="S35" s="1305"/>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306" customFormat="1" customHeight="1" ht="18.75" hidden="1">
      <c r="A36" s="1398"/>
      <c r="B36" s="1398"/>
      <c r="C36" s="1398"/>
      <c r="D36" s="1398"/>
      <c r="E36" s="1398"/>
      <c r="F36" s="1398"/>
      <c r="G36" s="1398"/>
      <c r="H36" s="1398"/>
      <c r="I36" s="1398"/>
      <c r="J36" s="1398"/>
      <c r="K36" s="1398"/>
      <c r="L36" s="1399"/>
      <c r="M36" s="1398"/>
      <c r="N36" s="1398"/>
      <c r="O36" s="1398"/>
      <c r="P36" s="1398"/>
      <c r="Q36" s="1398"/>
      <c r="S36" s="2098" t="s">
        <v>413</v>
      </c>
      <c r="T36" s="2098"/>
      <c r="U36" s="1402"/>
      <c r="V36" s="2099" t="str">
        <f>IF(TITLE_DATE_PR_CHANGE="",IF(TITLE_DATE_PR="","",TITLE_DATE_PR),TITLE_DATE_PR_CHANGE)</f>
        <v>45245.61800925926</v>
      </c>
      <c r="W36" s="2099"/>
      <c r="X36" s="2099"/>
      <c r="Y36" s="2099"/>
      <c r="Z36" s="2099"/>
      <c r="AA36" s="2099"/>
      <c r="AB36" s="2099"/>
      <c r="AC36" s="322"/>
      <c r="AD36" s="2099" t="str">
        <f>IF(TITLE_DATE_PR_CHANGE="",IF(TITLE_DATE_PR="","",TITLE_DATE_PR),TITLE_DATE_PR_CHANGE)</f>
        <v>45245.61800925926</v>
      </c>
      <c r="AE36" s="2099"/>
      <c r="AF36" s="2099"/>
      <c r="AG36" s="2099"/>
      <c r="AH36" s="2099"/>
      <c r="AI36" s="2099"/>
      <c r="AJ36" s="2099"/>
      <c r="AK36" s="2099"/>
      <c r="AL36" s="2099"/>
      <c r="AM36" s="2099"/>
      <c r="AN36" s="2099"/>
      <c r="AO36" s="2099"/>
      <c r="AP36" s="2099"/>
      <c r="AQ36" s="2099"/>
      <c r="AR36" s="2099"/>
      <c r="AS36" s="2099"/>
      <c r="AT36" s="2099"/>
      <c r="AU36" s="2099"/>
      <c r="AV36" s="2099"/>
      <c r="AW36" s="2099"/>
      <c r="AX36" s="2099"/>
      <c r="AY36" s="2099"/>
      <c r="AZ36" s="2099"/>
      <c r="BA36" s="322"/>
      <c r="BB36" s="322"/>
      <c r="BC36" s="268"/>
      <c r="BD36" s="368"/>
      <c r="BE36" s="368"/>
      <c r="BF36" s="368"/>
      <c r="BG36" s="368"/>
      <c r="BH36" s="368"/>
    </row>
    <row s="3306" customFormat="1" customHeight="1" ht="18.75" hidden="1">
      <c r="A37" s="1398"/>
      <c r="B37" s="1398"/>
      <c r="C37" s="1398"/>
      <c r="D37" s="1398"/>
      <c r="E37" s="1398"/>
      <c r="F37" s="1398"/>
      <c r="G37" s="1398"/>
      <c r="H37" s="1398"/>
      <c r="I37" s="1398"/>
      <c r="J37" s="1398"/>
      <c r="K37" s="1398"/>
      <c r="L37" s="1399"/>
      <c r="M37" s="1398"/>
      <c r="N37" s="1398"/>
      <c r="O37" s="1398"/>
      <c r="P37" s="1398"/>
      <c r="Q37" s="1398"/>
      <c r="S37" s="2098" t="s">
        <v>414</v>
      </c>
      <c r="T37" s="2098"/>
      <c r="U37" s="1402"/>
      <c r="V37" s="2100" t="str">
        <f>IF(TITLE_NUMBER_PR_CHANGE="",IF(TITLE_NUMBER_PR="","",TITLE_NUMBER_PR),TITLE_NUMBER_PR_CHANGE)</f>
        <v>550</v>
      </c>
      <c r="W37" s="2100"/>
      <c r="X37" s="2100"/>
      <c r="Y37" s="2100"/>
      <c r="Z37" s="2100"/>
      <c r="AA37" s="2100"/>
      <c r="AB37" s="2100"/>
      <c r="AC37" s="322"/>
      <c r="AD37" s="2100" t="str">
        <f>IF(TITLE_NUMBER_PR_CHANGE="",IF(TITLE_NUMBER_PR="","",TITLE_NUMBER_PR),TITLE_NUMBER_PR_CHANGE)</f>
        <v>550</v>
      </c>
      <c r="AE37" s="2100"/>
      <c r="AF37" s="2100"/>
      <c r="AG37" s="2100"/>
      <c r="AH37" s="2100"/>
      <c r="AI37" s="2100"/>
      <c r="AJ37" s="2100"/>
      <c r="AK37" s="2100"/>
      <c r="AL37" s="2100"/>
      <c r="AM37" s="2100"/>
      <c r="AN37" s="2100"/>
      <c r="AO37" s="2100"/>
      <c r="AP37" s="2100"/>
      <c r="AQ37" s="2100"/>
      <c r="AR37" s="2100"/>
      <c r="AS37" s="2100"/>
      <c r="AT37" s="2100"/>
      <c r="AU37" s="2100"/>
      <c r="AV37" s="2100"/>
      <c r="AW37" s="2100"/>
      <c r="AX37" s="2100"/>
      <c r="AY37" s="2100"/>
      <c r="AZ37" s="2100"/>
      <c r="BA37" s="322"/>
      <c r="BB37" s="322"/>
      <c r="BC37" s="268"/>
      <c r="BD37" s="368"/>
      <c r="BE37" s="368"/>
      <c r="BF37" s="368"/>
      <c r="BG37" s="368"/>
      <c r="BH37" s="368"/>
    </row>
    <row s="3306" customFormat="1" customHeight="1" ht="0">
      <c r="A38" s="1398"/>
      <c r="B38" s="1398"/>
      <c r="C38" s="1398"/>
      <c r="D38" s="1398"/>
      <c r="E38" s="1398"/>
      <c r="F38" s="1398"/>
      <c r="G38" s="1398"/>
      <c r="H38" s="1398"/>
      <c r="I38" s="1398"/>
      <c r="J38" s="1398"/>
      <c r="K38" s="1398"/>
      <c r="L38" s="1399"/>
      <c r="M38" s="1398"/>
      <c r="N38" s="1398"/>
      <c r="O38" s="1398"/>
      <c r="P38" s="1398"/>
      <c r="Q38" s="1398"/>
      <c r="S38" s="318"/>
      <c r="T38" s="318"/>
      <c r="U38" s="1518"/>
      <c r="V38" s="322"/>
      <c r="W38" s="322"/>
      <c r="X38" s="322"/>
      <c r="Y38" s="322"/>
      <c r="Z38" s="322"/>
      <c r="AA38" s="322"/>
      <c r="AB38" s="322"/>
      <c r="AC38" s="266" t="s">
        <v>417</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417</v>
      </c>
      <c r="BD38" s="368"/>
      <c r="BE38" s="368"/>
      <c r="BF38" s="368"/>
      <c r="BG38" s="368"/>
      <c r="BH38" s="368"/>
    </row>
    <row customHeight="1" ht="14.25">
      <c r="Q39" s="279"/>
      <c r="R39" s="377"/>
      <c r="S39" s="1305"/>
      <c r="T39" s="361"/>
      <c r="U39" s="1262"/>
      <c r="V39" s="2124"/>
      <c r="W39" s="2124"/>
      <c r="X39" s="2124"/>
      <c r="Y39" s="2124"/>
      <c r="Z39" s="2124"/>
      <c r="AA39" s="2124"/>
      <c r="AB39" s="2124"/>
      <c r="AC39" s="2124"/>
      <c r="AD39" s="2124"/>
      <c r="AE39" s="2124"/>
      <c r="AF39" s="2124"/>
      <c r="AG39" s="2124"/>
      <c r="AH39" s="2124"/>
      <c r="AI39" s="2124"/>
      <c r="AJ39" s="2124"/>
      <c r="AK39" s="2124"/>
      <c r="AL39" s="2124"/>
      <c r="AM39" s="2124"/>
      <c r="AN39" s="2124"/>
      <c r="AO39" s="2124"/>
      <c r="AP39" s="2124"/>
      <c r="AQ39" s="2124"/>
      <c r="AR39" s="2124"/>
      <c r="AS39" s="2124"/>
      <c r="AT39" s="2124"/>
      <c r="AU39" s="2124"/>
      <c r="AV39" s="2124"/>
      <c r="AW39" s="2124"/>
      <c r="AX39" s="2124"/>
      <c r="AY39" s="2124"/>
      <c r="AZ39" s="2124"/>
      <c r="BA39" s="2124"/>
    </row>
    <row customHeight="1" ht="14.25">
      <c r="Q40" s="279"/>
      <c r="R40" s="377"/>
      <c r="S40" s="1971" t="s">
        <v>291</v>
      </c>
      <c r="T40" s="1971"/>
      <c r="U40" s="1971"/>
      <c r="V40" s="1971"/>
      <c r="W40" s="1971"/>
      <c r="X40" s="1971"/>
      <c r="Y40" s="1971"/>
      <c r="Z40" s="1971"/>
      <c r="AA40" s="1971"/>
      <c r="AB40" s="1971"/>
      <c r="AC40" s="1971"/>
      <c r="AD40" s="1971"/>
      <c r="AE40" s="1971"/>
      <c r="AF40" s="1971"/>
      <c r="AG40" s="1971"/>
      <c r="AH40" s="1971"/>
      <c r="AI40" s="1971"/>
      <c r="AJ40" s="1971"/>
      <c r="AK40" s="1971"/>
      <c r="AL40" s="1971"/>
      <c r="AM40" s="1971"/>
      <c r="AN40" s="1971"/>
      <c r="AO40" s="1971"/>
      <c r="AP40" s="1971"/>
      <c r="AQ40" s="1971"/>
      <c r="AR40" s="1971"/>
      <c r="AS40" s="1971"/>
      <c r="AT40" s="1971"/>
      <c r="AU40" s="1971"/>
      <c r="AV40" s="1971"/>
      <c r="AW40" s="1971"/>
      <c r="AX40" s="1971"/>
      <c r="AY40" s="1971"/>
      <c r="AZ40" s="1971"/>
      <c r="BA40" s="1971"/>
      <c r="BB40" s="1971"/>
      <c r="BC40" s="1971" t="s">
        <v>292</v>
      </c>
    </row>
    <row customHeight="1" ht="14.25">
      <c r="Q41" s="279"/>
      <c r="R41" s="377"/>
      <c r="S41" s="2125" t="s">
        <v>87</v>
      </c>
      <c r="T41" s="2062" t="s">
        <v>500</v>
      </c>
      <c r="U41" s="289"/>
      <c r="V41" s="2126" t="s">
        <v>419</v>
      </c>
      <c r="W41" s="2127"/>
      <c r="X41" s="2127"/>
      <c r="Y41" s="2127"/>
      <c r="Z41" s="2127"/>
      <c r="AA41" s="2127"/>
      <c r="AB41" s="2128"/>
      <c r="AC41" s="2129" t="s">
        <v>420</v>
      </c>
      <c r="AD41" s="2173" t="s">
        <v>517</v>
      </c>
      <c r="AE41" s="2146"/>
      <c r="AF41" s="2146"/>
      <c r="AG41" s="2174"/>
      <c r="AH41" s="2173" t="s">
        <v>518</v>
      </c>
      <c r="AI41" s="2146"/>
      <c r="AJ41" s="2146"/>
      <c r="AK41" s="2174"/>
      <c r="AL41" s="2173" t="s">
        <v>519</v>
      </c>
      <c r="AM41" s="2146"/>
      <c r="AN41" s="2146"/>
      <c r="AO41" s="2174"/>
      <c r="AP41" s="2173" t="s">
        <v>504</v>
      </c>
      <c r="AQ41" s="2146"/>
      <c r="AR41" s="2146"/>
      <c r="AS41" s="2174"/>
      <c r="AT41" s="2126" t="s">
        <v>419</v>
      </c>
      <c r="AU41" s="2127"/>
      <c r="AV41" s="2127"/>
      <c r="AW41" s="2127"/>
      <c r="AX41" s="2127"/>
      <c r="AY41" s="2127"/>
      <c r="AZ41" s="2128"/>
      <c r="BA41" s="2129" t="s">
        <v>420</v>
      </c>
      <c r="BB41" s="2132" t="s">
        <v>422</v>
      </c>
      <c r="BC41" s="1971"/>
    </row>
    <row customHeight="1" ht="33.75">
      <c r="Q42" s="279"/>
      <c r="R42" s="377"/>
      <c r="S42" s="2125"/>
      <c r="T42" s="2062"/>
      <c r="U42" s="1038"/>
      <c r="V42" s="2029" t="s">
        <v>505</v>
      </c>
      <c r="W42" s="2030"/>
      <c r="X42" s="2029" t="s">
        <v>506</v>
      </c>
      <c r="Y42" s="2030"/>
      <c r="Z42" s="2144" t="s">
        <v>507</v>
      </c>
      <c r="AA42" s="2162"/>
      <c r="AB42" s="2163"/>
      <c r="AC42" s="2130"/>
      <c r="AD42" s="2175"/>
      <c r="AE42" s="2176"/>
      <c r="AF42" s="2176"/>
      <c r="AG42" s="2188"/>
      <c r="AH42" s="2175"/>
      <c r="AI42" s="2176"/>
      <c r="AJ42" s="2176"/>
      <c r="AK42" s="2188"/>
      <c r="AL42" s="2175"/>
      <c r="AM42" s="2176"/>
      <c r="AN42" s="2176"/>
      <c r="AO42" s="2188"/>
      <c r="AP42" s="2175"/>
      <c r="AQ42" s="2176"/>
      <c r="AR42" s="2176"/>
      <c r="AS42" s="2188"/>
      <c r="AT42" s="2029" t="s">
        <v>520</v>
      </c>
      <c r="AU42" s="2030"/>
      <c r="AV42" s="2029" t="s">
        <v>521</v>
      </c>
      <c r="AW42" s="2030"/>
      <c r="AX42" s="2144" t="s">
        <v>507</v>
      </c>
      <c r="AY42" s="2162"/>
      <c r="AZ42" s="2163"/>
      <c r="BA42" s="2130"/>
      <c r="BB42" s="2133"/>
      <c r="BC42" s="1971"/>
    </row>
    <row customHeight="1" ht="14.25">
      <c r="Q43" s="279"/>
      <c r="R43" s="377"/>
      <c r="S43" s="2125"/>
      <c r="T43" s="2062"/>
      <c r="U43" s="1038"/>
      <c r="V43" s="2037"/>
      <c r="W43" s="2038"/>
      <c r="X43" s="2037"/>
      <c r="Y43" s="2038"/>
      <c r="Z43" s="2145"/>
      <c r="AA43" s="2164"/>
      <c r="AB43" s="2165"/>
      <c r="AC43" s="2130"/>
      <c r="AD43" s="2175"/>
      <c r="AE43" s="2176"/>
      <c r="AF43" s="2176"/>
      <c r="AG43" s="2188"/>
      <c r="AH43" s="2175"/>
      <c r="AI43" s="2176"/>
      <c r="AJ43" s="2176"/>
      <c r="AK43" s="2188"/>
      <c r="AL43" s="2175"/>
      <c r="AM43" s="2176"/>
      <c r="AN43" s="2176"/>
      <c r="AO43" s="2188"/>
      <c r="AP43" s="2175"/>
      <c r="AQ43" s="2176"/>
      <c r="AR43" s="2176"/>
      <c r="AS43" s="2188"/>
      <c r="AT43" s="2037"/>
      <c r="AU43" s="2038"/>
      <c r="AV43" s="2037"/>
      <c r="AW43" s="2038"/>
      <c r="AX43" s="2145"/>
      <c r="AY43" s="2164"/>
      <c r="AZ43" s="2165"/>
      <c r="BA43" s="2130"/>
      <c r="BB43" s="2133"/>
      <c r="BC43" s="1971"/>
    </row>
    <row customHeight="1" ht="14.25">
      <c r="A44" s="1400"/>
      <c r="B44" s="1400" t="s">
        <v>134</v>
      </c>
      <c r="C44" s="1400" t="s">
        <v>135</v>
      </c>
      <c r="D44" s="1400" t="s">
        <v>136</v>
      </c>
      <c r="E44" s="1394" t="s">
        <v>427</v>
      </c>
      <c r="F44" s="1394" t="s">
        <v>428</v>
      </c>
      <c r="G44" s="1394" t="s">
        <v>429</v>
      </c>
      <c r="H44" s="1394" t="s">
        <v>430</v>
      </c>
      <c r="I44" s="1394" t="s">
        <v>431</v>
      </c>
      <c r="J44" s="1394" t="s">
        <v>432</v>
      </c>
      <c r="K44" s="1394" t="s">
        <v>433</v>
      </c>
      <c r="L44" s="1394" t="s">
        <v>408</v>
      </c>
      <c r="Q44" s="279"/>
      <c r="R44" s="377"/>
      <c r="S44" s="2125"/>
      <c r="T44" s="2062"/>
      <c r="U44" s="290"/>
      <c r="V44" s="1509" t="s">
        <v>473</v>
      </c>
      <c r="W44" s="1509" t="s">
        <v>474</v>
      </c>
      <c r="X44" s="1509" t="s">
        <v>473</v>
      </c>
      <c r="Y44" s="1509" t="s">
        <v>474</v>
      </c>
      <c r="Z44" s="1519" t="s">
        <v>436</v>
      </c>
      <c r="AA44" s="2121" t="s">
        <v>437</v>
      </c>
      <c r="AB44" s="2122"/>
      <c r="AC44" s="2131"/>
      <c r="AD44" s="2177"/>
      <c r="AE44" s="2178"/>
      <c r="AF44" s="2178"/>
      <c r="AG44" s="2179"/>
      <c r="AH44" s="2177"/>
      <c r="AI44" s="2178"/>
      <c r="AJ44" s="2178"/>
      <c r="AK44" s="2179"/>
      <c r="AL44" s="2177"/>
      <c r="AM44" s="2178"/>
      <c r="AN44" s="2178"/>
      <c r="AO44" s="2179"/>
      <c r="AP44" s="2177"/>
      <c r="AQ44" s="2178"/>
      <c r="AR44" s="2178"/>
      <c r="AS44" s="2179"/>
      <c r="AT44" s="1509" t="s">
        <v>473</v>
      </c>
      <c r="AU44" s="1509" t="s">
        <v>474</v>
      </c>
      <c r="AV44" s="1509" t="s">
        <v>473</v>
      </c>
      <c r="AW44" s="1509" t="s">
        <v>474</v>
      </c>
      <c r="AX44" s="1519" t="s">
        <v>436</v>
      </c>
      <c r="AY44" s="2121" t="s">
        <v>437</v>
      </c>
      <c r="AZ44" s="2122"/>
      <c r="BA44" s="2131"/>
      <c r="BB44" s="2134"/>
      <c r="BC44" s="1971"/>
    </row>
    <row s="2611" customFormat="1" customHeight="1" ht="11.25" hidden="1">
      <c r="A45" s="1400"/>
      <c r="B45" s="1400"/>
      <c r="C45" s="1400"/>
      <c r="D45" s="1400"/>
      <c r="E45" s="1400"/>
      <c r="F45" s="1400"/>
      <c r="G45" s="1400"/>
      <c r="H45" s="1400"/>
      <c r="I45" s="1400"/>
      <c r="J45" s="1400"/>
      <c r="K45" s="1400"/>
      <c r="L45" s="1394"/>
      <c r="M45" s="1392"/>
      <c r="N45" s="1392"/>
      <c r="O45" s="1392"/>
      <c r="P45" s="516"/>
      <c r="Q45" s="1280"/>
      <c r="R45" s="1280">
        <v>1</v>
      </c>
      <c r="S45" s="1307" t="s">
        <v>108</v>
      </c>
      <c r="T45" s="1281" t="s">
        <v>109</v>
      </c>
      <c r="U45" s="1263" t="str">
        <f>OFFSET(U45,0,-1)</f>
        <v>2</v>
      </c>
      <c r="V45" s="1512">
        <f>OFFSET(V45,0,-1)+1</f>
        <v>3</v>
      </c>
      <c r="W45" s="1512">
        <f>OFFSET(W45,0,-1)+1</f>
        <v>4</v>
      </c>
      <c r="X45" s="1512">
        <f>OFFSET(X45,0,-1)+1</f>
        <v>5</v>
      </c>
      <c r="Y45" s="1512">
        <f>OFFSET(Y45,0,-1)+1</f>
        <v>6</v>
      </c>
      <c r="Z45" s="1512">
        <f>OFFSET(Z45,0,-1)+1</f>
        <v>7</v>
      </c>
      <c r="AA45" s="2123">
        <f>OFFSET(AA45,0,-1)+1</f>
        <v>8</v>
      </c>
      <c r="AB45" s="2123"/>
      <c r="AC45" s="1512">
        <f>OFFSET(AC45,0,-2)+1</f>
        <v>9</v>
      </c>
      <c r="AD45" s="1512">
        <f>OFFSET(AD45,0,-1)+1</f>
        <v>10</v>
      </c>
      <c r="AE45" s="1512"/>
      <c r="AF45" s="1512"/>
      <c r="AG45" s="1512"/>
      <c r="AH45" s="1512"/>
      <c r="AI45" s="1512"/>
      <c r="AJ45" s="1512"/>
      <c r="AK45" s="1512"/>
      <c r="AL45" s="1512"/>
      <c r="AM45" s="1512"/>
      <c r="AN45" s="1512"/>
      <c r="AO45" s="1512"/>
      <c r="AP45" s="1512"/>
      <c r="AQ45" s="1512"/>
      <c r="AR45" s="1512"/>
      <c r="AS45" s="1512"/>
      <c r="AT45" s="1512"/>
      <c r="AU45" s="1512"/>
      <c r="AV45" s="1512"/>
      <c r="AW45" s="1512">
        <f>OFFSET(AW45,0,-1)+1</f>
        <v>1</v>
      </c>
      <c r="AX45" s="1512">
        <f>OFFSET(AX45,0,-1)+1</f>
        <v>2</v>
      </c>
      <c r="AY45" s="2123">
        <f>OFFSET(AY45,0,-1)+1</f>
        <v>3</v>
      </c>
      <c r="AZ45" s="2123"/>
      <c r="BA45" s="1512">
        <f>OFFSET(BA45,0,-2)+1</f>
        <v>4</v>
      </c>
      <c r="BB45" s="1263">
        <f>OFFSET(BB45,0,-1)</f>
        <v>4</v>
      </c>
      <c r="BC45" s="1512">
        <f>OFFSET(BC45,0,-1)+1</f>
        <v>5</v>
      </c>
      <c r="BD45" s="517"/>
      <c r="BE45" s="517"/>
      <c r="BF45" s="517"/>
      <c r="BG45" s="517"/>
      <c r="BH45" s="517"/>
    </row>
    <row customHeight="1" ht="21">
      <c r="A46" s="1393" t="s">
        <v>267</v>
      </c>
      <c r="B46" s="1393"/>
      <c r="C46" s="1393"/>
      <c r="D46" s="1393"/>
      <c r="E46" s="2107">
        <v>1</v>
      </c>
      <c r="F46" s="1393"/>
      <c r="G46" s="1393"/>
      <c r="H46" s="1393"/>
      <c r="I46" s="1393"/>
      <c r="J46" s="1393"/>
      <c r="K46" s="1393"/>
      <c r="L46" s="1394"/>
      <c r="M46" s="1395"/>
      <c r="N46" s="1395"/>
      <c r="O46" s="1395"/>
      <c r="P46" s="1439"/>
      <c r="Q46" s="879"/>
      <c r="R46" s="351"/>
      <c r="S46" s="1523">
        <f>INDEX(PT_DIFFERENTIATION_NUM_NTAR,MATCH(A46,PT_DIFFERENTIATION_NTAR_ID,0))</f>
        <v>0</v>
      </c>
      <c r="T46" s="286" t="s">
        <v>122</v>
      </c>
      <c r="U46" s="288"/>
      <c r="V46" s="2102"/>
      <c r="W46" s="2102"/>
      <c r="X46" s="2102"/>
      <c r="Y46" s="2102"/>
      <c r="Z46" s="2102"/>
      <c r="AA46" s="2102"/>
      <c r="AB46" s="2102"/>
      <c r="AC46" s="2103"/>
      <c r="AD46" s="2101" t="str">
        <f>INDEX(PT_DIFFERENTIATION_NTAR,MATCH(A46,PT_DIFFERENTIATION_NTAR_ID,0))</f>
        <v/>
      </c>
      <c r="AE46" s="2102"/>
      <c r="AF46" s="2102"/>
      <c r="AG46" s="2102"/>
      <c r="AH46" s="2102"/>
      <c r="AI46" s="2102"/>
      <c r="AJ46" s="2102"/>
      <c r="AK46" s="2102"/>
      <c r="AL46" s="2102"/>
      <c r="AM46" s="2102"/>
      <c r="AN46" s="2102"/>
      <c r="AO46" s="2102"/>
      <c r="AP46" s="2102"/>
      <c r="AQ46" s="2102"/>
      <c r="AR46" s="2102"/>
      <c r="AS46" s="2102"/>
      <c r="AT46" s="2102"/>
      <c r="AU46" s="2102"/>
      <c r="AV46" s="2102"/>
      <c r="AW46" s="2102"/>
      <c r="AX46" s="2102"/>
      <c r="AY46" s="2102"/>
      <c r="AZ46" s="2102"/>
      <c r="BA46" s="2102"/>
      <c r="BB46" s="2103"/>
      <c r="BC46"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3" t="s">
        <v>267</v>
      </c>
      <c r="B47" s="1393" t="s">
        <v>268</v>
      </c>
      <c r="C47" s="1393"/>
      <c r="D47" s="1393"/>
      <c r="E47" s="2108"/>
      <c r="F47" s="2107">
        <v>1</v>
      </c>
      <c r="G47" s="1393"/>
      <c r="H47" s="1393"/>
      <c r="I47" s="1393"/>
      <c r="J47" s="1393"/>
      <c r="K47" s="1393"/>
      <c r="L47" s="1394"/>
      <c r="M47" s="1395"/>
      <c r="N47" s="1395"/>
      <c r="O47" s="1395"/>
      <c r="P47" s="1440"/>
      <c r="Q47" s="1441"/>
      <c r="R47" s="349"/>
      <c r="S47" s="1523" t="str">
        <f>INDEX(PT_DIFFERENTIATION_NUM_TER,MATCH(B47,PT_DIFFERENTIATION_TER_ID,0))</f>
        <v>.</v>
      </c>
      <c r="T47" s="298" t="s">
        <v>390</v>
      </c>
      <c r="U47" s="288"/>
      <c r="V47" s="2102"/>
      <c r="W47" s="2102"/>
      <c r="X47" s="2102"/>
      <c r="Y47" s="2102"/>
      <c r="Z47" s="2102"/>
      <c r="AA47" s="2102"/>
      <c r="AB47" s="2102"/>
      <c r="AC47" s="2103"/>
      <c r="AD47" s="2101" t="str">
        <f>INDEX(PT_DIFFERENTIATION_TER,MATCH(B47,PT_DIFFERENTIATION_TER_ID,0))</f>
        <v/>
      </c>
      <c r="AE47" s="2102"/>
      <c r="AF47" s="2102"/>
      <c r="AG47" s="2102"/>
      <c r="AH47" s="2102"/>
      <c r="AI47" s="2102"/>
      <c r="AJ47" s="2102"/>
      <c r="AK47" s="2102"/>
      <c r="AL47" s="2102"/>
      <c r="AM47" s="2102"/>
      <c r="AN47" s="2102"/>
      <c r="AO47" s="2102"/>
      <c r="AP47" s="2102"/>
      <c r="AQ47" s="2102"/>
      <c r="AR47" s="2102"/>
      <c r="AS47" s="2102"/>
      <c r="AT47" s="2102"/>
      <c r="AU47" s="2102"/>
      <c r="AV47" s="2102"/>
      <c r="AW47" s="2102"/>
      <c r="AX47" s="2102"/>
      <c r="AY47" s="2102"/>
      <c r="AZ47" s="2102"/>
      <c r="BA47" s="2102"/>
      <c r="BB47" s="2103"/>
      <c r="BC47" s="1286" t="s">
        <v>391</v>
      </c>
      <c r="BE47" s="506"/>
      <c r="BF47" s="506" t="str">
        <f>IF(T47="","",T47)</f>
        <v>Территория действия тарифа</v>
      </c>
      <c r="BG47" s="506"/>
      <c r="BH47" s="506"/>
    </row>
    <row customHeight="1" ht="33.75">
      <c r="A48" s="1393" t="s">
        <v>267</v>
      </c>
      <c r="B48" s="1393" t="s">
        <v>268</v>
      </c>
      <c r="C48" s="1393" t="s">
        <v>269</v>
      </c>
      <c r="D48" s="1393"/>
      <c r="E48" s="2108"/>
      <c r="F48" s="2108"/>
      <c r="G48" s="2107">
        <v>1</v>
      </c>
      <c r="H48" s="1393"/>
      <c r="I48" s="1393"/>
      <c r="J48" s="1393"/>
      <c r="K48" s="1393"/>
      <c r="L48" s="1394"/>
      <c r="M48" s="1395"/>
      <c r="N48" s="1395"/>
      <c r="O48" s="1395"/>
      <c r="P48" s="1442"/>
      <c r="Q48" s="1441"/>
      <c r="R48" s="349"/>
      <c r="S48" s="1523" t="str">
        <f>INDEX(PT_DIFFERENTIATION_NUM_CS,MATCH(C48,PT_DIFFERENTIATION_CS_ID,0))</f>
        <v>..</v>
      </c>
      <c r="T48" s="299" t="s">
        <v>509</v>
      </c>
      <c r="U48" s="288"/>
      <c r="V48" s="2102"/>
      <c r="W48" s="2102"/>
      <c r="X48" s="2102"/>
      <c r="Y48" s="2102"/>
      <c r="Z48" s="2102"/>
      <c r="AA48" s="2102"/>
      <c r="AB48" s="2102"/>
      <c r="AC48" s="2103"/>
      <c r="AD48" s="2101" t="str">
        <f>INDEX(PT_DIFFERENTIATION_CS,MATCH(C48,PT_DIFFERENTIATION_CS_ID,0))</f>
        <v/>
      </c>
      <c r="AE48" s="2102"/>
      <c r="AF48" s="2102"/>
      <c r="AG48" s="2102"/>
      <c r="AH48" s="2102"/>
      <c r="AI48" s="2102"/>
      <c r="AJ48" s="2102"/>
      <c r="AK48" s="2102"/>
      <c r="AL48" s="2102"/>
      <c r="AM48" s="2102"/>
      <c r="AN48" s="2102"/>
      <c r="AO48" s="2102"/>
      <c r="AP48" s="2102"/>
      <c r="AQ48" s="2102"/>
      <c r="AR48" s="2102"/>
      <c r="AS48" s="2102"/>
      <c r="AT48" s="2102"/>
      <c r="AU48" s="2102"/>
      <c r="AV48" s="2102"/>
      <c r="AW48" s="2102"/>
      <c r="AX48" s="2102"/>
      <c r="AY48" s="2102"/>
      <c r="AZ48" s="2102"/>
      <c r="BA48" s="2102"/>
      <c r="BB48" s="2103"/>
      <c r="BC48" s="1286" t="s">
        <v>510</v>
      </c>
      <c r="BE48" s="506"/>
      <c r="BF48" s="506" t="str">
        <f>IF(T48="","",T48)</f>
        <v>Наименование централизованной системы водоотведения</v>
      </c>
      <c r="BG48" s="506"/>
      <c r="BH48" s="506"/>
    </row>
    <row s="2612" customFormat="1" customHeight="1" ht="0">
      <c r="A49" s="1373" t="s">
        <v>267</v>
      </c>
      <c r="B49" s="1373" t="s">
        <v>268</v>
      </c>
      <c r="C49" s="1373" t="s">
        <v>269</v>
      </c>
      <c r="D49" s="1373" t="s">
        <v>522</v>
      </c>
      <c r="E49" s="2108"/>
      <c r="F49" s="2108"/>
      <c r="G49" s="2108"/>
      <c r="H49" s="2107">
        <v>1</v>
      </c>
      <c r="I49" s="1373"/>
      <c r="J49" s="1373"/>
      <c r="K49" s="1373"/>
      <c r="L49" s="1376"/>
      <c r="M49" s="1345"/>
      <c r="N49" s="1345"/>
      <c r="O49" s="1345"/>
      <c r="P49" s="1527"/>
      <c r="Q49" s="1528"/>
      <c r="R49" s="353"/>
      <c r="S49" s="1049"/>
      <c r="T49" s="1529"/>
      <c r="U49" s="1414"/>
      <c r="V49" s="2148"/>
      <c r="W49" s="2148"/>
      <c r="X49" s="2148"/>
      <c r="Y49" s="2148"/>
      <c r="Z49" s="2148"/>
      <c r="AA49" s="2148"/>
      <c r="AB49" s="2148"/>
      <c r="AC49" s="2149"/>
      <c r="AD49" s="2147"/>
      <c r="AE49" s="2148"/>
      <c r="AF49" s="2148"/>
      <c r="AG49" s="2148"/>
      <c r="AH49" s="2148"/>
      <c r="AI49" s="2148"/>
      <c r="AJ49" s="2148"/>
      <c r="AK49" s="2148"/>
      <c r="AL49" s="2148"/>
      <c r="AM49" s="2148"/>
      <c r="AN49" s="2148"/>
      <c r="AO49" s="2148"/>
      <c r="AP49" s="2148"/>
      <c r="AQ49" s="2148"/>
      <c r="AR49" s="2148"/>
      <c r="AS49" s="2148"/>
      <c r="AT49" s="2148"/>
      <c r="AU49" s="2148"/>
      <c r="AV49" s="2148"/>
      <c r="AW49" s="2148"/>
      <c r="AX49" s="2148"/>
      <c r="AY49" s="2148"/>
      <c r="AZ49" s="2148"/>
      <c r="BA49" s="2148"/>
      <c r="BB49" s="2149"/>
      <c r="BC49" s="1415" t="s">
        <v>395</v>
      </c>
      <c r="BE49" s="506"/>
      <c r="BF49" s="506" t="str">
        <f>IF(T49="","",T49)</f>
        <v/>
      </c>
      <c r="BG49" s="506"/>
      <c r="BH49" s="506"/>
    </row>
    <row s="2612" customFormat="1" customHeight="1" ht="0">
      <c r="A50" s="1373" t="s">
        <v>267</v>
      </c>
      <c r="B50" s="1373" t="s">
        <v>268</v>
      </c>
      <c r="C50" s="1373" t="s">
        <v>269</v>
      </c>
      <c r="D50" s="1373" t="s">
        <v>522</v>
      </c>
      <c r="E50" s="2108"/>
      <c r="F50" s="2108"/>
      <c r="G50" s="2108"/>
      <c r="H50" s="2108"/>
      <c r="I50" s="2109" t="str">
        <f>S49&amp;".1"</f>
        <v>.1</v>
      </c>
      <c r="J50" s="1373"/>
      <c r="K50" s="1373"/>
      <c r="L50" s="1376" t="s">
        <v>396</v>
      </c>
      <c r="M50" s="516"/>
      <c r="N50" s="516"/>
      <c r="O50" s="516"/>
      <c r="P50" s="2111">
        <v>1</v>
      </c>
      <c r="Q50" s="1511"/>
      <c r="R50" s="352"/>
      <c r="S50" s="1049"/>
      <c r="T50" s="1413"/>
      <c r="U50" s="1414"/>
      <c r="V50" s="2148"/>
      <c r="W50" s="2148"/>
      <c r="X50" s="2148"/>
      <c r="Y50" s="2148"/>
      <c r="Z50" s="2148"/>
      <c r="AA50" s="2148"/>
      <c r="AB50" s="2148"/>
      <c r="AC50" s="2149"/>
      <c r="AD50" s="2147"/>
      <c r="AE50" s="2148"/>
      <c r="AF50" s="2148"/>
      <c r="AG50" s="2148"/>
      <c r="AH50" s="2148"/>
      <c r="AI50" s="2148"/>
      <c r="AJ50" s="2148"/>
      <c r="AK50" s="2148"/>
      <c r="AL50" s="2148"/>
      <c r="AM50" s="2148"/>
      <c r="AN50" s="2148"/>
      <c r="AO50" s="2148"/>
      <c r="AP50" s="2148"/>
      <c r="AQ50" s="2148"/>
      <c r="AR50" s="2148"/>
      <c r="AS50" s="2148"/>
      <c r="AT50" s="2148"/>
      <c r="AU50" s="2148"/>
      <c r="AV50" s="2148"/>
      <c r="AW50" s="2148"/>
      <c r="AX50" s="2148"/>
      <c r="AY50" s="2148"/>
      <c r="AZ50" s="2148"/>
      <c r="BA50" s="2148"/>
      <c r="BB50" s="2149"/>
      <c r="BC50" s="1415"/>
      <c r="BE50" s="506"/>
      <c r="BF50" s="506" t="str">
        <f>IF(T50="","",T50)</f>
        <v/>
      </c>
      <c r="BG50" s="506"/>
      <c r="BH50" s="506"/>
    </row>
    <row s="2612" customFormat="1" customHeight="1" ht="0">
      <c r="A51" s="1373" t="s">
        <v>267</v>
      </c>
      <c r="B51" s="1373" t="s">
        <v>268</v>
      </c>
      <c r="C51" s="1373" t="s">
        <v>269</v>
      </c>
      <c r="D51" s="1373" t="s">
        <v>522</v>
      </c>
      <c r="E51" s="2108"/>
      <c r="F51" s="2108"/>
      <c r="G51" s="2108"/>
      <c r="H51" s="2108"/>
      <c r="I51" s="2110"/>
      <c r="J51" s="2109" t="str">
        <f>S49&amp;".1"</f>
        <v>.1</v>
      </c>
      <c r="K51" s="1373"/>
      <c r="L51" s="1376"/>
      <c r="M51" s="516"/>
      <c r="N51" s="516"/>
      <c r="O51" s="516"/>
      <c r="P51" s="2111"/>
      <c r="Q51" s="2111">
        <v>1</v>
      </c>
      <c r="R51" s="353"/>
      <c r="S51" s="1049"/>
      <c r="T51" s="1429"/>
      <c r="U51" s="1414"/>
      <c r="V51" s="2148"/>
      <c r="W51" s="2148"/>
      <c r="X51" s="2148"/>
      <c r="Y51" s="2148"/>
      <c r="Z51" s="2148"/>
      <c r="AA51" s="2148"/>
      <c r="AB51" s="2148"/>
      <c r="AC51" s="2149"/>
      <c r="AD51" s="2147"/>
      <c r="AE51" s="2148"/>
      <c r="AF51" s="2148"/>
      <c r="AG51" s="2148"/>
      <c r="AH51" s="2148"/>
      <c r="AI51" s="2148"/>
      <c r="AJ51" s="2148"/>
      <c r="AK51" s="2148"/>
      <c r="AL51" s="2148"/>
      <c r="AM51" s="2148"/>
      <c r="AN51" s="2209"/>
      <c r="AO51" s="2209"/>
      <c r="AP51" s="2148"/>
      <c r="AQ51" s="2148"/>
      <c r="AR51" s="2148"/>
      <c r="AS51" s="2148"/>
      <c r="AT51" s="2148"/>
      <c r="AU51" s="2148"/>
      <c r="AV51" s="2148"/>
      <c r="AW51" s="2148"/>
      <c r="AX51" s="2148"/>
      <c r="AY51" s="2148"/>
      <c r="AZ51" s="2148"/>
      <c r="BA51" s="2148"/>
      <c r="BB51" s="2149"/>
      <c r="BC51" s="1415"/>
      <c r="BE51" s="506"/>
      <c r="BF51" s="506" t="str">
        <f>IF(T51="","",T51)</f>
        <v/>
      </c>
      <c r="BG51" s="506"/>
      <c r="BH51" s="506"/>
    </row>
    <row customHeight="1" ht="11.25">
      <c r="A52" s="1393" t="s">
        <v>267</v>
      </c>
      <c r="B52" s="1393" t="s">
        <v>268</v>
      </c>
      <c r="C52" s="1393" t="s">
        <v>269</v>
      </c>
      <c r="D52" s="1393" t="s">
        <v>522</v>
      </c>
      <c r="E52" s="2108"/>
      <c r="F52" s="2108"/>
      <c r="G52" s="2108"/>
      <c r="H52" s="2108"/>
      <c r="I52" s="2110"/>
      <c r="J52" s="2110"/>
      <c r="K52" s="2109" t="str">
        <f>S48&amp;".1"</f>
        <v>...1</v>
      </c>
      <c r="L52" s="1394"/>
      <c r="P52" s="2111"/>
      <c r="Q52" s="2111"/>
      <c r="R52" s="353">
        <v>1</v>
      </c>
      <c r="S52" s="2184" t="str">
        <f>$K52</f>
        <v>...1</v>
      </c>
      <c r="T52" s="2203"/>
      <c r="U52" s="288"/>
      <c r="V52" s="757"/>
      <c r="W52" s="1285"/>
      <c r="X52" s="757"/>
      <c r="Y52" s="1285"/>
      <c r="Z52" s="1774"/>
      <c r="AA52" s="1499" t="s">
        <v>61</v>
      </c>
      <c r="AB52" s="1774"/>
      <c r="AC52" s="1499" t="s">
        <v>61</v>
      </c>
      <c r="AD52" s="2044" t="s">
        <v>61</v>
      </c>
      <c r="AE52" s="2180"/>
      <c r="AF52" s="2057">
        <v>1</v>
      </c>
      <c r="AG52" s="2202"/>
      <c r="AH52" s="1981" t="s">
        <v>61</v>
      </c>
      <c r="AI52" s="2180"/>
      <c r="AJ52" s="2057">
        <v>1</v>
      </c>
      <c r="AK52" s="2201" t="s">
        <v>24</v>
      </c>
      <c r="AL52" s="1981" t="s">
        <v>61</v>
      </c>
      <c r="AM52" s="2029"/>
      <c r="AN52" s="2057">
        <v>1</v>
      </c>
      <c r="AO52" s="2206"/>
      <c r="AP52" s="2207" t="s">
        <v>61</v>
      </c>
      <c r="AQ52" s="301"/>
      <c r="AR52" s="1516">
        <v>1</v>
      </c>
      <c r="AS52" s="1522" t="s">
        <v>24</v>
      </c>
      <c r="AT52" s="757"/>
      <c r="AU52" s="1285"/>
      <c r="AV52" s="757"/>
      <c r="AW52" s="1285"/>
      <c r="AX52" s="1774"/>
      <c r="AY52" s="1499" t="s">
        <v>61</v>
      </c>
      <c r="AZ52" s="1774"/>
      <c r="BA52" s="1499" t="s">
        <v>61</v>
      </c>
      <c r="BB52" s="1378"/>
      <c r="BC52" s="2137" t="s">
        <v>494</v>
      </c>
      <c r="BE52" s="506"/>
      <c r="BF52" s="506" t="str">
        <f>IF(T52="","",T52)</f>
        <v/>
      </c>
      <c r="BG52" s="506"/>
      <c r="BH52" s="506"/>
    </row>
    <row customHeight="1" ht="11.25">
      <c r="A53" s="1393"/>
      <c r="B53" s="1393"/>
      <c r="C53" s="1393"/>
      <c r="D53" s="1393"/>
      <c r="E53" s="2108"/>
      <c r="F53" s="2108"/>
      <c r="G53" s="2108"/>
      <c r="H53" s="2108"/>
      <c r="I53" s="2110"/>
      <c r="J53" s="2110"/>
      <c r="K53" s="2109"/>
      <c r="L53" s="1394"/>
      <c r="P53" s="2111"/>
      <c r="Q53" s="2111"/>
      <c r="R53" s="353"/>
      <c r="S53" s="2185"/>
      <c r="T53" s="2204"/>
      <c r="U53" s="288"/>
      <c r="V53" s="1423"/>
      <c r="W53" s="1526"/>
      <c r="X53" s="1423"/>
      <c r="Y53" s="1526"/>
      <c r="Z53" s="1423"/>
      <c r="AA53" s="1423"/>
      <c r="AB53" s="1423"/>
      <c r="AC53" s="1423"/>
      <c r="AD53" s="2045"/>
      <c r="AE53" s="2180"/>
      <c r="AF53" s="2057"/>
      <c r="AG53" s="2202"/>
      <c r="AH53" s="1981"/>
      <c r="AI53" s="2180"/>
      <c r="AJ53" s="2057"/>
      <c r="AK53" s="2201"/>
      <c r="AL53" s="1981"/>
      <c r="AM53" s="2037"/>
      <c r="AN53" s="2057"/>
      <c r="AO53" s="2206"/>
      <c r="AP53" s="2208"/>
      <c r="AQ53" s="308"/>
      <c r="AR53" s="422"/>
      <c r="AS53" s="422" t="s">
        <v>495</v>
      </c>
      <c r="AT53" s="1423"/>
      <c r="AU53" s="1526"/>
      <c r="AV53" s="1423"/>
      <c r="AW53" s="1526"/>
      <c r="AX53" s="1423"/>
      <c r="AY53" s="1423"/>
      <c r="AZ53" s="1423"/>
      <c r="BA53" s="1423"/>
      <c r="BB53" s="1427"/>
      <c r="BC53" s="2138"/>
      <c r="BE53" s="506"/>
      <c r="BF53" s="506"/>
      <c r="BG53" s="506"/>
      <c r="BH53" s="506"/>
    </row>
    <row customHeight="1" ht="11.25">
      <c r="A54" s="1393" t="s">
        <v>267</v>
      </c>
      <c r="B54" s="1393"/>
      <c r="C54" s="1393"/>
      <c r="D54" s="1393"/>
      <c r="E54" s="2108"/>
      <c r="F54" s="2108"/>
      <c r="G54" s="2108"/>
      <c r="H54" s="2108"/>
      <c r="I54" s="2110"/>
      <c r="J54" s="2110"/>
      <c r="K54" s="2109"/>
      <c r="L54" s="1394"/>
      <c r="P54" s="2111"/>
      <c r="Q54" s="2111"/>
      <c r="R54" s="353"/>
      <c r="S54" s="2185"/>
      <c r="T54" s="2204"/>
      <c r="U54" s="288"/>
      <c r="V54" s="1423"/>
      <c r="W54" s="1526"/>
      <c r="X54" s="1423"/>
      <c r="Y54" s="1526"/>
      <c r="Z54" s="1423"/>
      <c r="AA54" s="1423"/>
      <c r="AB54" s="1423"/>
      <c r="AC54" s="1423"/>
      <c r="AD54" s="2045"/>
      <c r="AE54" s="2180"/>
      <c r="AF54" s="2057"/>
      <c r="AG54" s="2202"/>
      <c r="AH54" s="1981"/>
      <c r="AI54" s="2180"/>
      <c r="AJ54" s="2057"/>
      <c r="AK54" s="2201"/>
      <c r="AL54" s="1981"/>
      <c r="AM54" s="308"/>
      <c r="AN54" s="1530"/>
      <c r="AO54" s="1530" t="s">
        <v>515</v>
      </c>
      <c r="AP54" s="422"/>
      <c r="AQ54" s="422"/>
      <c r="AR54" s="422"/>
      <c r="AS54" s="1423"/>
      <c r="AT54" s="1423"/>
      <c r="AU54" s="1526"/>
      <c r="AV54" s="1423"/>
      <c r="AW54" s="1526"/>
      <c r="AX54" s="1423"/>
      <c r="AY54" s="1423"/>
      <c r="AZ54" s="1423"/>
      <c r="BA54" s="1423"/>
      <c r="BB54" s="1427"/>
      <c r="BC54" s="2138"/>
      <c r="BE54" s="506"/>
      <c r="BF54" s="506"/>
      <c r="BG54" s="506"/>
      <c r="BH54" s="506"/>
    </row>
    <row customHeight="1" ht="11.25">
      <c r="A55" s="1393" t="s">
        <v>267</v>
      </c>
      <c r="B55" s="1393"/>
      <c r="C55" s="1393"/>
      <c r="D55" s="1393"/>
      <c r="E55" s="2108"/>
      <c r="F55" s="2108"/>
      <c r="G55" s="2108"/>
      <c r="H55" s="2108"/>
      <c r="I55" s="2110"/>
      <c r="J55" s="2110"/>
      <c r="K55" s="2109"/>
      <c r="L55" s="1394"/>
      <c r="P55" s="2111"/>
      <c r="Q55" s="2111"/>
      <c r="R55" s="353"/>
      <c r="S55" s="2185"/>
      <c r="T55" s="2204"/>
      <c r="U55" s="288"/>
      <c r="V55" s="1423"/>
      <c r="W55" s="1526"/>
      <c r="X55" s="1423"/>
      <c r="Y55" s="1526"/>
      <c r="Z55" s="1423"/>
      <c r="AA55" s="1423"/>
      <c r="AB55" s="1423"/>
      <c r="AC55" s="1423"/>
      <c r="AD55" s="2045"/>
      <c r="AE55" s="2180"/>
      <c r="AF55" s="2057"/>
      <c r="AG55" s="2202"/>
      <c r="AH55" s="1981"/>
      <c r="AI55" s="282"/>
      <c r="AJ55" s="421"/>
      <c r="AK55" s="303" t="s">
        <v>516</v>
      </c>
      <c r="AL55" s="1423"/>
      <c r="AM55" s="1423"/>
      <c r="AN55" s="1423"/>
      <c r="AO55" s="1423"/>
      <c r="AP55" s="1423"/>
      <c r="AQ55" s="1423"/>
      <c r="AR55" s="1423"/>
      <c r="AS55" s="1423"/>
      <c r="AT55" s="1423"/>
      <c r="AU55" s="1526"/>
      <c r="AV55" s="1423"/>
      <c r="AW55" s="1526"/>
      <c r="AX55" s="1423"/>
      <c r="AY55" s="1423"/>
      <c r="AZ55" s="1423"/>
      <c r="BA55" s="1423"/>
      <c r="BB55" s="1427"/>
      <c r="BC55" s="2138"/>
      <c r="BE55" s="506"/>
      <c r="BF55" s="506"/>
      <c r="BG55" s="506"/>
      <c r="BH55" s="506"/>
    </row>
    <row customHeight="1" ht="11.25">
      <c r="A56" s="1393" t="s">
        <v>267</v>
      </c>
      <c r="B56" s="1393" t="s">
        <v>268</v>
      </c>
      <c r="C56" s="1393" t="s">
        <v>269</v>
      </c>
      <c r="D56" s="1393" t="s">
        <v>522</v>
      </c>
      <c r="E56" s="2108"/>
      <c r="F56" s="2108"/>
      <c r="G56" s="2108"/>
      <c r="H56" s="2108"/>
      <c r="I56" s="2110"/>
      <c r="J56" s="2110"/>
      <c r="K56" s="2109"/>
      <c r="L56" s="1394"/>
      <c r="P56" s="2111"/>
      <c r="Q56" s="2111"/>
      <c r="R56" s="353"/>
      <c r="S56" s="2186"/>
      <c r="T56" s="2205"/>
      <c r="U56" s="288"/>
      <c r="V56" s="1423"/>
      <c r="W56" s="1424" t="str">
        <f>Z52&amp;"-"&amp;AB52</f>
        <v>-</v>
      </c>
      <c r="X56" s="1423"/>
      <c r="Y56" s="1424" t="str">
        <f>AB52&amp;"-"&amp;AD52</f>
        <v>-да</v>
      </c>
      <c r="Z56" s="1423"/>
      <c r="AA56" s="1423"/>
      <c r="AB56" s="1423"/>
      <c r="AC56" s="1423"/>
      <c r="AD56" s="1986"/>
      <c r="AE56" s="302"/>
      <c r="AF56" s="304"/>
      <c r="AG56" s="422" t="s">
        <v>498</v>
      </c>
      <c r="AH56" s="1423"/>
      <c r="AI56" s="1423"/>
      <c r="AJ56" s="1423"/>
      <c r="AK56" s="1423"/>
      <c r="AL56" s="1423"/>
      <c r="AM56" s="1423"/>
      <c r="AN56" s="1423"/>
      <c r="AO56" s="1423"/>
      <c r="AP56" s="1423"/>
      <c r="AQ56" s="1423"/>
      <c r="AR56" s="1423"/>
      <c r="AS56" s="1423"/>
      <c r="AT56" s="1423"/>
      <c r="AU56" s="1424" t="str">
        <f>AX52&amp;"-"&amp;AZ52</f>
        <v>-</v>
      </c>
      <c r="AV56" s="1423"/>
      <c r="AW56" s="1424" t="str">
        <f>AZ52&amp;"-"&amp;BB52</f>
        <v>-</v>
      </c>
      <c r="AX56" s="1423"/>
      <c r="AY56" s="1423"/>
      <c r="AZ56" s="1423"/>
      <c r="BA56" s="1423"/>
      <c r="BB56" s="1426" t="str">
        <f>BE52&amp;"-"&amp;BG52</f>
        <v>-</v>
      </c>
      <c r="BC56" s="2138"/>
      <c r="BE56" s="506"/>
      <c r="BF56" s="506" t="str">
        <f>IF(T56="","",T56)</f>
        <v/>
      </c>
      <c r="BG56" s="506"/>
      <c r="BH56" s="506"/>
    </row>
    <row customHeight="1" ht="11.25">
      <c r="A57" s="1393" t="s">
        <v>267</v>
      </c>
      <c r="B57" s="1393" t="s">
        <v>268</v>
      </c>
      <c r="C57" s="1393" t="s">
        <v>269</v>
      </c>
      <c r="D57" s="1393" t="s">
        <v>522</v>
      </c>
      <c r="E57" s="2108"/>
      <c r="F57" s="2108"/>
      <c r="G57" s="2108"/>
      <c r="H57" s="2108"/>
      <c r="I57" s="2110"/>
      <c r="J57" s="2109"/>
      <c r="K57" s="1393"/>
      <c r="L57" s="1394"/>
      <c r="P57" s="2111"/>
      <c r="Q57" s="2111"/>
      <c r="R57" s="352"/>
      <c r="S57" s="1308"/>
      <c r="T57" s="275" t="s">
        <v>462</v>
      </c>
      <c r="U57" s="367"/>
      <c r="V57" s="367"/>
      <c r="W57" s="367"/>
      <c r="X57" s="367"/>
      <c r="Y57" s="367"/>
      <c r="Z57" s="367"/>
      <c r="AA57" s="367"/>
      <c r="AB57" s="367"/>
      <c r="AC57" s="319"/>
      <c r="AD57" s="153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19"/>
      <c r="BC57" s="2139"/>
      <c r="BE57" s="506"/>
      <c r="BF57" s="506" t="str">
        <f>IF(T57="","",T57)</f>
        <v>Добавить строку</v>
      </c>
      <c r="BG57" s="506"/>
      <c r="BH57" s="506"/>
    </row>
    <row s="2612" customFormat="1" customHeight="1" ht="0">
      <c r="A58" s="1373" t="s">
        <v>267</v>
      </c>
      <c r="B58" s="1373" t="s">
        <v>268</v>
      </c>
      <c r="C58" s="1373" t="s">
        <v>269</v>
      </c>
      <c r="D58" s="1373" t="s">
        <v>522</v>
      </c>
      <c r="E58" s="2108"/>
      <c r="F58" s="2108"/>
      <c r="G58" s="2108"/>
      <c r="H58" s="2108"/>
      <c r="I58" s="2109"/>
      <c r="J58" s="1373"/>
      <c r="K58" s="1373"/>
      <c r="L58" s="1376"/>
      <c r="M58" s="516"/>
      <c r="N58" s="516"/>
      <c r="O58" s="516"/>
      <c r="P58" s="2111"/>
      <c r="Q58" s="1511"/>
      <c r="R58" s="352"/>
      <c r="S58" s="1416"/>
      <c r="T58" s="1417"/>
      <c r="U58" s="1418"/>
      <c r="V58" s="1418"/>
      <c r="W58" s="1418"/>
      <c r="X58" s="1418"/>
      <c r="Y58" s="1418"/>
      <c r="Z58" s="1418"/>
      <c r="AA58" s="1418"/>
      <c r="AB58" s="1418"/>
      <c r="AC58" s="1418"/>
      <c r="AD58" s="1418"/>
      <c r="AE58" s="1418"/>
      <c r="AF58" s="1418"/>
      <c r="AG58" s="1418"/>
      <c r="AH58" s="1418"/>
      <c r="AI58" s="1418"/>
      <c r="AJ58" s="1418"/>
      <c r="AK58" s="1418"/>
      <c r="AL58" s="1418"/>
      <c r="AM58" s="1418"/>
      <c r="AN58" s="1418"/>
      <c r="AO58" s="1418"/>
      <c r="AP58" s="1418"/>
      <c r="AQ58" s="1418"/>
      <c r="AR58" s="1418"/>
      <c r="AS58" s="1418"/>
      <c r="AT58" s="1418"/>
      <c r="AU58" s="1418"/>
      <c r="AV58" s="1418"/>
      <c r="AW58" s="1418"/>
      <c r="AX58" s="1418"/>
      <c r="AY58" s="1418"/>
      <c r="AZ58" s="1418"/>
      <c r="BA58" s="1418"/>
      <c r="BB58" s="1418"/>
      <c r="BC58" s="1419"/>
      <c r="BE58" s="506"/>
      <c r="BF58" s="506" t="str">
        <f>IF(T58="","",T58)</f>
        <v/>
      </c>
      <c r="BG58" s="506"/>
      <c r="BH58" s="506"/>
    </row>
    <row s="2612" customFormat="1" customHeight="1" ht="0">
      <c r="A59" s="1373" t="s">
        <v>267</v>
      </c>
      <c r="B59" s="1373" t="s">
        <v>268</v>
      </c>
      <c r="C59" s="1373" t="s">
        <v>269</v>
      </c>
      <c r="D59" s="1373" t="s">
        <v>522</v>
      </c>
      <c r="E59" s="2108"/>
      <c r="F59" s="2108"/>
      <c r="G59" s="2108"/>
      <c r="H59" s="2107"/>
      <c r="I59" s="1373"/>
      <c r="J59" s="1373"/>
      <c r="K59" s="1373"/>
      <c r="L59" s="1376"/>
      <c r="M59" s="1345"/>
      <c r="N59" s="1345"/>
      <c r="O59" s="524"/>
      <c r="P59" s="385"/>
      <c r="Q59" s="1374"/>
      <c r="R59" s="1431"/>
      <c r="S59" s="1416"/>
      <c r="T59" s="1417"/>
      <c r="U59" s="1418"/>
      <c r="V59" s="1418"/>
      <c r="W59" s="1418"/>
      <c r="X59" s="1418"/>
      <c r="Y59" s="1418"/>
      <c r="Z59" s="1418"/>
      <c r="AA59" s="1418"/>
      <c r="AB59" s="1418"/>
      <c r="AC59" s="1418"/>
      <c r="AD59" s="1418"/>
      <c r="AE59" s="1418"/>
      <c r="AF59" s="1418"/>
      <c r="AG59" s="1418"/>
      <c r="AH59" s="1418"/>
      <c r="AI59" s="1418"/>
      <c r="AJ59" s="1418"/>
      <c r="AK59" s="1418"/>
      <c r="AL59" s="1418"/>
      <c r="AM59" s="1418"/>
      <c r="AN59" s="1418"/>
      <c r="AO59" s="1418"/>
      <c r="AP59" s="1418"/>
      <c r="AQ59" s="1418"/>
      <c r="AR59" s="1418"/>
      <c r="AS59" s="1418"/>
      <c r="AT59" s="1418"/>
      <c r="AU59" s="1418"/>
      <c r="AV59" s="1418"/>
      <c r="AW59" s="1418"/>
      <c r="AX59" s="1418"/>
      <c r="AY59" s="1418"/>
      <c r="AZ59" s="1418"/>
      <c r="BA59" s="1418"/>
      <c r="BB59" s="1418"/>
      <c r="BC59" s="1419"/>
      <c r="BE59" s="506"/>
      <c r="BF59" s="506" t="str">
        <f>IF(T59="","",T59)</f>
        <v/>
      </c>
      <c r="BG59" s="506"/>
      <c r="BH59" s="506"/>
    </row>
    <row s="3274" customFormat="1" customHeight="1" ht="0">
      <c r="A60" s="1373" t="s">
        <v>267</v>
      </c>
      <c r="B60" s="1373" t="s">
        <v>268</v>
      </c>
      <c r="C60" s="1373" t="s">
        <v>269</v>
      </c>
      <c r="D60" s="1344"/>
      <c r="E60" s="2108"/>
      <c r="F60" s="2108"/>
      <c r="G60" s="2107"/>
      <c r="H60" s="1344"/>
      <c r="I60" s="1344"/>
      <c r="J60" s="1344"/>
      <c r="K60" s="1344"/>
      <c r="L60" s="1524"/>
      <c r="M60" s="1345"/>
      <c r="N60" s="1345"/>
      <c r="P60" s="1346"/>
      <c r="Q60" s="1347"/>
      <c r="R60" s="1346"/>
      <c r="S60" s="1352"/>
      <c r="T60" s="1355"/>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V60" s="1354"/>
      <c r="AW60" s="1354"/>
      <c r="AX60" s="1354"/>
      <c r="AY60" s="1354"/>
      <c r="AZ60" s="1354"/>
      <c r="BA60" s="1354"/>
      <c r="BB60" s="1354"/>
      <c r="BC60" s="1354"/>
      <c r="BE60" s="795"/>
      <c r="BF60" s="795" t="str">
        <f>IF(T60="","",T60)</f>
        <v/>
      </c>
      <c r="BG60" s="795"/>
      <c r="BH60" s="795"/>
    </row>
    <row s="3274" customFormat="1" customHeight="1" ht="0">
      <c r="A61" s="1373" t="s">
        <v>267</v>
      </c>
      <c r="B61" s="1373" t="s">
        <v>268</v>
      </c>
      <c r="C61" s="1344"/>
      <c r="D61" s="1344"/>
      <c r="E61" s="2108"/>
      <c r="F61" s="2107"/>
      <c r="G61" s="1344"/>
      <c r="H61" s="1344"/>
      <c r="I61" s="1344"/>
      <c r="J61" s="1344"/>
      <c r="K61" s="1344"/>
      <c r="L61" s="1524"/>
      <c r="M61" s="1351"/>
      <c r="N61" s="1351"/>
      <c r="P61" s="1346"/>
      <c r="Q61" s="1347"/>
      <c r="R61" s="1346"/>
      <c r="S61" s="1352"/>
      <c r="T61" s="1355" t="s">
        <v>168</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V61" s="1354"/>
      <c r="AW61" s="1354"/>
      <c r="AX61" s="1354"/>
      <c r="AY61" s="1354"/>
      <c r="AZ61" s="1354"/>
      <c r="BA61" s="1354"/>
      <c r="BB61" s="1354"/>
      <c r="BC61" s="1354"/>
      <c r="BE61" s="795"/>
      <c r="BF61" s="795" t="str">
        <f>IF(T61="","",T61)</f>
        <v>Добавить централизованную систему для дифференциации</v>
      </c>
      <c r="BG61" s="795"/>
      <c r="BH61" s="795"/>
    </row>
    <row s="2612" customFormat="1" customHeight="1" ht="0">
      <c r="A62" s="1373" t="s">
        <v>267</v>
      </c>
      <c r="B62" s="1373"/>
      <c r="C62" s="1373"/>
      <c r="D62" s="1373"/>
      <c r="E62" s="2107"/>
      <c r="F62" s="1373"/>
      <c r="G62" s="1373"/>
      <c r="H62" s="1373"/>
      <c r="I62" s="1373"/>
      <c r="J62" s="1373"/>
      <c r="K62" s="1373"/>
      <c r="L62" s="1376"/>
      <c r="M62" s="1351"/>
      <c r="N62" s="1351"/>
      <c r="O62" s="524"/>
      <c r="P62" s="385"/>
      <c r="Q62" s="1374"/>
      <c r="R62" s="385"/>
      <c r="S62" s="1352"/>
      <c r="T62" s="1355" t="s">
        <v>169</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V62" s="1354"/>
      <c r="AW62" s="1354"/>
      <c r="AX62" s="1354"/>
      <c r="AY62" s="1354"/>
      <c r="AZ62" s="1354"/>
      <c r="BA62" s="1354"/>
      <c r="BB62" s="1354"/>
      <c r="BC62" s="1354"/>
      <c r="BE62" s="506"/>
      <c r="BF62" s="506" t="str">
        <f>IF(T62="","",T62)</f>
        <v>Добавить территорию для дифференциации</v>
      </c>
      <c r="BG62" s="506"/>
      <c r="BH62" s="506"/>
    </row>
    <row s="3274" customFormat="1" customHeight="1" ht="0">
      <c r="A63" s="1344"/>
      <c r="B63" s="1344"/>
      <c r="C63" s="1344"/>
      <c r="D63" s="1344"/>
      <c r="E63" s="1373"/>
      <c r="F63" s="1344"/>
      <c r="G63" s="1344"/>
      <c r="H63" s="1344"/>
      <c r="I63" s="1344"/>
      <c r="J63" s="1344"/>
      <c r="K63" s="1344"/>
      <c r="L63" s="1524"/>
      <c r="M63" s="1351"/>
      <c r="N63" s="1351"/>
      <c r="P63" s="1346"/>
      <c r="Q63" s="1347"/>
      <c r="R63" s="1346"/>
      <c r="S63" s="1352"/>
      <c r="T63" s="1355" t="s">
        <v>170</v>
      </c>
      <c r="U63" s="1354"/>
      <c r="V63" s="1354"/>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R63" s="1354"/>
      <c r="AS63" s="1354"/>
      <c r="AT63" s="1354"/>
      <c r="AU63" s="1354"/>
      <c r="AV63" s="1354"/>
      <c r="AW63" s="1354"/>
      <c r="AX63" s="1354"/>
      <c r="AY63" s="1354"/>
      <c r="AZ63" s="1354"/>
      <c r="BA63" s="1354"/>
      <c r="BB63" s="1354"/>
      <c r="BC63" s="1354"/>
      <c r="BE63" s="795"/>
      <c r="BF63" s="795" t="str">
        <f>IF(T63="","",T63)</f>
        <v>Добавить наименование тарифа</v>
      </c>
      <c r="BG63" s="795"/>
      <c r="BH63" s="795"/>
    </row>
    <row customHeight="1" ht="11.25">
      <c r="M64" s="1168"/>
      <c r="N64" s="1168"/>
      <c r="O64" s="543"/>
      <c r="P64" s="1168"/>
      <c r="Q64" s="1168"/>
      <c r="R64" s="1163"/>
      <c r="S64" s="1163"/>
      <c r="BD64" s="1163"/>
      <c r="BE64" s="1163"/>
      <c r="BF64" s="1163"/>
      <c r="BG64" s="1163"/>
      <c r="BH64" s="1163"/>
    </row>
    <row customHeight="1" ht="14.25">
      <c r="O65" s="543"/>
      <c r="S65" s="127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c r="AV65" s="2106"/>
      <c r="AW65" s="2106"/>
      <c r="AX65" s="2106"/>
      <c r="AY65" s="2106"/>
      <c r="AZ65" s="2106"/>
      <c r="BA65" s="2106"/>
      <c r="BB65" s="2106"/>
      <c r="BC65" s="2106"/>
    </row>
    <row customHeight="1" ht="14.25">
      <c r="O66" s="543"/>
      <c r="T66" s="1510"/>
      <c r="U66" s="1510"/>
      <c r="V66" s="1510"/>
      <c r="W66" s="1510"/>
      <c r="X66" s="1510"/>
      <c r="Y66" s="1510"/>
      <c r="Z66" s="1510"/>
      <c r="AA66" s="1510"/>
      <c r="AB66" s="1510"/>
      <c r="AC66" s="1510"/>
      <c r="AD66" s="1510"/>
      <c r="AE66" s="1510"/>
      <c r="AF66" s="1510"/>
      <c r="AG66" s="1510"/>
      <c r="AH66" s="1510"/>
      <c r="AI66" s="1510"/>
      <c r="AJ66" s="1510"/>
      <c r="AK66" s="1510"/>
      <c r="AL66" s="1510"/>
      <c r="AM66" s="1510"/>
      <c r="AN66" s="1510"/>
      <c r="AO66" s="1510"/>
      <c r="AP66" s="1510"/>
      <c r="AQ66" s="1510"/>
      <c r="AR66" s="1510"/>
      <c r="AS66" s="1510"/>
      <c r="AT66" s="1510"/>
      <c r="AU66" s="1510"/>
      <c r="AV66" s="1510"/>
      <c r="AW66" s="1510"/>
      <c r="AX66" s="1510"/>
      <c r="AY66" s="1510"/>
      <c r="AZ66" s="1510"/>
      <c r="BA66" s="1510"/>
      <c r="BB66" s="1510"/>
      <c r="BC66" s="1510"/>
    </row>
    <row customHeight="1" ht="14.25">
      <c r="O67" s="543"/>
      <c r="S67" s="127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c r="AV67" s="2106"/>
      <c r="AW67" s="2106"/>
      <c r="AX67" s="2106"/>
      <c r="AY67" s="2106"/>
      <c r="AZ67" s="2106"/>
      <c r="BA67" s="2106"/>
      <c r="BB67" s="2106"/>
      <c r="BC67" s="2106"/>
    </row>
    <row customHeight="1" ht="14.25">
      <c r="O68" s="54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AAB137-CC28-0218-850D-B274CF8F91DC}"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93" width="10.57421875" hidden="1"/>
    <col min="2" max="2" style="3293" width="11.00390625" hidden="1" customWidth="1"/>
    <col min="3" max="3" style="3293" width="10.57421875" hidden="1"/>
    <col min="4" max="4" style="3293" width="11.8515625" hidden="1" customWidth="1"/>
    <col min="5" max="5" style="3293" width="10.00390625" hidden="1" customWidth="1"/>
    <col min="6" max="6" style="3293" width="8.7109375" hidden="1" customWidth="1"/>
    <col min="7" max="7" style="3293" width="7.57421875" hidden="1" customWidth="1"/>
    <col min="8" max="8" style="3293" width="11.421875" hidden="1" customWidth="1"/>
    <col min="9" max="9" style="3293" width="14.140625" hidden="1" customWidth="1"/>
    <col min="10" max="10" style="3293" width="9.8515625" hidden="1" customWidth="1"/>
    <col min="11" max="11" style="3293" width="14.7109375" hidden="1" customWidth="1"/>
    <col min="12" max="12" style="4013" width="19.140625" hidden="1" customWidth="1"/>
    <col min="13" max="14" style="3295" width="12.28125" hidden="1" customWidth="1"/>
    <col min="15" max="15" style="3295" width="23.421875" hidden="1" customWidth="1"/>
    <col min="16" max="16" style="4018" width="3.7109375" customWidth="1"/>
    <col min="17" max="18" style="3372" width="3.7109375" customWidth="1"/>
    <col min="19" max="19" style="3373" width="12.7109375" customWidth="1"/>
    <col min="20" max="20" style="2941" width="35.7109375" customWidth="1"/>
    <col min="21" max="21" style="2941" width="0.140625" customWidth="1"/>
    <col min="22" max="24" style="2941" width="24.7109375" hidden="1" customWidth="1"/>
    <col min="25" max="25" style="2941" width="11.7109375" hidden="1" customWidth="1"/>
    <col min="26" max="26" style="2941" width="3.7109375" hidden="1" customWidth="1"/>
    <col min="27" max="27" style="2941" width="11.7109375" hidden="1" customWidth="1"/>
    <col min="28" max="28" style="2941" width="8.57421875" hidden="1" customWidth="1"/>
    <col min="29" max="31" style="2941" width="24.7109375" customWidth="1"/>
    <col min="32" max="32" style="2941" width="11.7109375" customWidth="1"/>
    <col min="33" max="33" style="2941" width="3.7109375" customWidth="1"/>
    <col min="34" max="34" style="2941" width="11.7109375" customWidth="1"/>
    <col min="35" max="35" style="2941" width="8.57421875" hidden="1" customWidth="1"/>
    <col min="36" max="36" style="2941" width="4.7109375" customWidth="1"/>
    <col min="37" max="37" style="2941" width="115.7109375" customWidth="1"/>
    <col min="38" max="39" style="2612" width="10.57421875"/>
    <col min="40" max="40" style="2612" width="11.140625" customWidth="1"/>
    <col min="41" max="42" style="2612"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122</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390</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391</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523</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524</v>
      </c>
      <c r="AM4" s="506"/>
      <c r="AN4" s="506" t="str">
        <f>IF(T4="","",T4)</f>
        <v>Наименование централизованной системы горячего водоснабжения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478</v>
      </c>
      <c r="U5" s="288"/>
      <c r="V5" s="2194"/>
      <c r="W5" s="2195"/>
      <c r="X5" s="2195"/>
      <c r="Y5" s="2195"/>
      <c r="Z5" s="2195"/>
      <c r="AA5" s="2195"/>
      <c r="AB5" s="2196"/>
      <c r="AC5" s="2197"/>
      <c r="AD5" s="2198"/>
      <c r="AE5" s="2198"/>
      <c r="AF5" s="2198"/>
      <c r="AG5" s="2198"/>
      <c r="AH5" s="2198"/>
      <c r="AI5" s="2198"/>
      <c r="AJ5" s="2199"/>
      <c r="AK5" s="1286" t="s">
        <v>479</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399</v>
      </c>
      <c r="P6" s="2111"/>
      <c r="Q6" s="2111">
        <v>1</v>
      </c>
      <c r="R6" s="353"/>
      <c r="S6" s="1523">
        <f>$J6</f>
      </c>
      <c r="T6" s="274" t="s">
        <v>400</v>
      </c>
      <c r="U6" s="288"/>
      <c r="V6" s="2095"/>
      <c r="W6" s="2096"/>
      <c r="X6" s="2096"/>
      <c r="Y6" s="2096"/>
      <c r="Z6" s="2096"/>
      <c r="AA6" s="2096"/>
      <c r="AB6" s="2097"/>
      <c r="AC6" s="2095"/>
      <c r="AD6" s="2096"/>
      <c r="AE6" s="2096"/>
      <c r="AF6" s="2096"/>
      <c r="AG6" s="2096"/>
      <c r="AH6" s="2096"/>
      <c r="AI6" s="2096"/>
      <c r="AJ6" s="2097"/>
      <c r="AK6" s="1337" t="s">
        <v>480</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61</v>
      </c>
      <c r="AA7" s="2112"/>
      <c r="AB7" s="1981" t="s">
        <v>61</v>
      </c>
      <c r="AC7" s="757"/>
      <c r="AD7" s="757"/>
      <c r="AE7" s="1285"/>
      <c r="AF7" s="2112"/>
      <c r="AG7" s="1981" t="s">
        <v>61</v>
      </c>
      <c r="AH7" s="2114"/>
      <c r="AI7" s="1981" t="s">
        <v>61</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481</v>
      </c>
      <c r="U9" s="367"/>
      <c r="V9" s="367"/>
      <c r="W9" s="367"/>
      <c r="X9" s="367"/>
      <c r="Y9" s="367"/>
      <c r="Z9" s="367"/>
      <c r="AA9" s="367"/>
      <c r="AB9" s="367"/>
      <c r="AC9" s="367"/>
      <c r="AD9" s="367"/>
      <c r="AE9" s="367"/>
      <c r="AF9" s="367"/>
      <c r="AG9" s="367"/>
      <c r="AH9" s="367"/>
      <c r="AI9" s="367"/>
      <c r="AJ9" s="367"/>
      <c r="AK9" s="1286" t="s">
        <v>482</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405</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483</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4"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168</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2"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169</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61</v>
      </c>
      <c r="AH15" s="2105"/>
      <c r="AI15" s="2104" t="s">
        <v>61</v>
      </c>
    </row>
    <row customHeight="1" ht="14.25" hidden="1">
      <c r="AC16" s="1390"/>
      <c r="AD16" s="1390"/>
      <c r="AE16" s="324" t="str">
        <f>AF15&amp;"-"&amp;AH15</f>
        <v>-</v>
      </c>
      <c r="AF16" s="2104"/>
      <c r="AG16" s="2104"/>
      <c r="AH16" s="2104"/>
      <c r="AI16" s="2104"/>
    </row>
    <row customHeight="1" ht="14.25" hidden="1">
      <c r="AI17" s="323"/>
    </row>
    <row s="3293" customFormat="1" customHeight="1" ht="22.5" hidden="1">
      <c r="L18" s="1508"/>
      <c r="M18" s="1392"/>
      <c r="N18" s="1392"/>
      <c r="O18" s="1397" t="s">
        <v>407</v>
      </c>
      <c r="P18" s="1392"/>
      <c r="Q18" s="1401"/>
      <c r="R18" s="1401"/>
      <c r="S18" s="735"/>
      <c r="Y18" s="1397"/>
      <c r="AA18" s="1397"/>
      <c r="AB18" s="1396"/>
      <c r="AF18" s="1397"/>
      <c r="AH18" s="1397"/>
      <c r="AI18" s="1396"/>
      <c r="AL18" s="517"/>
      <c r="AM18" s="517"/>
      <c r="AN18" s="517"/>
      <c r="AO18" s="517"/>
      <c r="AP18" s="517"/>
    </row>
    <row s="3293" customFormat="1" customHeight="1" ht="14.25" hidden="1">
      <c r="L19" s="1508"/>
      <c r="M19" s="1392"/>
      <c r="N19" s="1392"/>
      <c r="O19" s="1392"/>
      <c r="P19" s="1392"/>
      <c r="Q19" s="1401"/>
      <c r="R19" s="1401"/>
      <c r="S19" s="735"/>
      <c r="AB19" s="1396"/>
      <c r="AI19" s="1396"/>
      <c r="AL19" s="517"/>
      <c r="AM19" s="517"/>
      <c r="AN19" s="517"/>
      <c r="AO19" s="517"/>
      <c r="AP19" s="517"/>
    </row>
    <row s="3293" customFormat="1" customHeight="1" ht="12" hidden="1">
      <c r="L20" s="1508"/>
      <c r="M20" s="1392"/>
      <c r="N20" s="1392"/>
      <c r="O20" s="1394" t="s">
        <v>408</v>
      </c>
      <c r="P20" s="1392"/>
      <c r="Q20" s="1472"/>
      <c r="R20" s="1472"/>
      <c r="S20" s="735"/>
      <c r="T20" s="1168" t="s">
        <v>409</v>
      </c>
      <c r="Z20" s="172" t="s">
        <v>410</v>
      </c>
      <c r="AB20" s="172" t="s">
        <v>411</v>
      </c>
      <c r="AC20" s="1168" t="s">
        <v>409</v>
      </c>
      <c r="AG20" s="172" t="s">
        <v>412</v>
      </c>
      <c r="AI20" s="172" t="s">
        <v>411</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29.25">
      <c r="Q24" s="377"/>
      <c r="R24" s="377"/>
      <c r="S24" s="2140"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МУП г. Азова "Теплоэнерго"</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06"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Региональная служба по тарифам Ростовской области</v>
      </c>
      <c r="W27" s="2100"/>
      <c r="X27" s="2100"/>
      <c r="Y27" s="2100"/>
      <c r="Z27" s="2100"/>
      <c r="AA27" s="2100"/>
      <c r="AB27" s="322"/>
      <c r="AC27" s="2100" t="str">
        <f>IF(TITLE_NAME_OR_PR_CHANGE="",IF(TITLE_NAME_OR_PR="","",TITLE_NAME_OR_PR),TITLE_NAME_OR_PR_CHANGE)</f>
        <v>Региональная служба по тарифам Ростовской области</v>
      </c>
      <c r="AD27" s="2100"/>
      <c r="AE27" s="2100"/>
      <c r="AF27" s="2100"/>
      <c r="AG27" s="2100"/>
      <c r="AH27" s="2100"/>
      <c r="AI27" s="322"/>
      <c r="AJ27" s="322"/>
      <c r="AK27" s="268"/>
      <c r="AL27" s="368"/>
      <c r="AM27" s="368"/>
      <c r="AN27" s="368"/>
      <c r="AO27" s="368"/>
      <c r="AP27" s="368"/>
    </row>
    <row s="3306" customFormat="1" customHeight="1" ht="18.75">
      <c r="A28" s="1398"/>
      <c r="B28" s="1398"/>
      <c r="C28" s="1398"/>
      <c r="D28" s="1398"/>
      <c r="E28" s="1398"/>
      <c r="F28" s="1398"/>
      <c r="G28" s="1398"/>
      <c r="H28" s="1398"/>
      <c r="I28" s="1398"/>
      <c r="J28" s="1398"/>
      <c r="K28" s="1398"/>
      <c r="L28" s="1399"/>
      <c r="M28" s="1398"/>
      <c r="N28" s="1398"/>
      <c r="O28" s="1398"/>
      <c r="S28" s="2098" t="s">
        <v>413</v>
      </c>
      <c r="T28" s="2098"/>
      <c r="U28" s="1402"/>
      <c r="V28" s="2099" t="str">
        <f>IF(TITLE_DATE_PR_CHANGE="",IF(TITLE_DATE_PR="","",TITLE_DATE_PR),TITLE_DATE_PR_CHANGE)</f>
        <v>45245.61800925926</v>
      </c>
      <c r="W28" s="2099"/>
      <c r="X28" s="2099"/>
      <c r="Y28" s="2099"/>
      <c r="Z28" s="2099"/>
      <c r="AA28" s="2099"/>
      <c r="AB28" s="322"/>
      <c r="AC28" s="2099" t="str">
        <f>IF(TITLE_DATE_PR_CHANGE="",IF(TITLE_DATE_PR="","",TITLE_DATE_PR),TITLE_DATE_PR_CHANGE)</f>
        <v>45245.61800925926</v>
      </c>
      <c r="AD28" s="2099"/>
      <c r="AE28" s="2099"/>
      <c r="AF28" s="2099"/>
      <c r="AG28" s="2099"/>
      <c r="AH28" s="2099"/>
      <c r="AI28" s="322"/>
      <c r="AJ28" s="322"/>
      <c r="AK28" s="268"/>
      <c r="AL28" s="368"/>
      <c r="AM28" s="368"/>
      <c r="AN28" s="368"/>
      <c r="AO28" s="368"/>
      <c r="AP28" s="368"/>
    </row>
    <row s="3306" customFormat="1" customHeight="1" ht="18.75">
      <c r="A29" s="1398"/>
      <c r="B29" s="1398"/>
      <c r="C29" s="1398"/>
      <c r="D29" s="1398"/>
      <c r="E29" s="1398"/>
      <c r="F29" s="1398"/>
      <c r="G29" s="1398"/>
      <c r="H29" s="1398"/>
      <c r="I29" s="1398"/>
      <c r="J29" s="1398"/>
      <c r="K29" s="1398"/>
      <c r="L29" s="1399"/>
      <c r="M29" s="1398"/>
      <c r="N29" s="1398"/>
      <c r="O29" s="1398"/>
      <c r="S29" s="2098" t="s">
        <v>414</v>
      </c>
      <c r="T29" s="2098"/>
      <c r="U29" s="1402"/>
      <c r="V29" s="2100" t="str">
        <f>IF(TITLE_NUMBER_PR_CHANGE="",IF(TITLE_NUMBER_PR="","",TITLE_NUMBER_PR),TITLE_NUMBER_PR_CHANGE)</f>
        <v>550</v>
      </c>
      <c r="W29" s="2100"/>
      <c r="X29" s="2100"/>
      <c r="Y29" s="2100"/>
      <c r="Z29" s="2100"/>
      <c r="AA29" s="2100"/>
      <c r="AB29" s="322"/>
      <c r="AC29" s="2100" t="str">
        <f>IF(TITLE_NUMBER_PR_CHANGE="",IF(TITLE_NUMBER_PR="","",TITLE_NUMBER_PR),TITLE_NUMBER_PR_CHANGE)</f>
        <v>550</v>
      </c>
      <c r="AD29" s="2100"/>
      <c r="AE29" s="2100"/>
      <c r="AF29" s="2100"/>
      <c r="AG29" s="2100"/>
      <c r="AH29" s="2100"/>
      <c r="AI29" s="322"/>
      <c r="AJ29" s="322"/>
      <c r="AK29" s="268"/>
      <c r="AL29" s="368"/>
      <c r="AM29" s="368"/>
      <c r="AN29" s="368"/>
      <c r="AO29" s="368"/>
      <c r="AP29" s="368"/>
    </row>
    <row s="3306"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https://rst.donland.ru</v>
      </c>
      <c r="W30" s="2100"/>
      <c r="X30" s="2100"/>
      <c r="Y30" s="2100"/>
      <c r="Z30" s="2100"/>
      <c r="AA30" s="2100"/>
      <c r="AB30" s="322"/>
      <c r="AC30" s="2100" t="str">
        <f>IF(TITLE_IST_PUB_CHANGE="",IF(TITLE_IST_PUB="","",TITLE_IST_PUB),TITLE_IST_PUB_CHANGE)</f>
        <v>https://rst.donland.ru</v>
      </c>
      <c r="AD30" s="2100"/>
      <c r="AE30" s="2100"/>
      <c r="AF30" s="2100"/>
      <c r="AG30" s="2100"/>
      <c r="AH30" s="2100"/>
      <c r="AI30" s="322"/>
      <c r="AJ30" s="322"/>
      <c r="AK30" s="268"/>
      <c r="AL30" s="368"/>
      <c r="AM30" s="368"/>
      <c r="AN30" s="368"/>
      <c r="AO30" s="368"/>
      <c r="AP30" s="368"/>
    </row>
    <row customHeight="1" ht="14.25" hidden="1">
      <c r="Q31" s="377"/>
      <c r="R31" s="377"/>
      <c r="S31" s="1305"/>
      <c r="T31" s="361"/>
      <c r="U31" s="361"/>
      <c r="V31" s="316"/>
      <c r="W31" s="316"/>
      <c r="X31" s="316"/>
      <c r="Y31" s="316"/>
      <c r="Z31" s="316"/>
      <c r="AA31" s="316"/>
      <c r="AB31" s="316"/>
      <c r="AC31" s="316"/>
      <c r="AD31" s="316"/>
      <c r="AE31" s="316"/>
      <c r="AF31" s="316"/>
      <c r="AG31" s="316"/>
      <c r="AH31" s="316"/>
      <c r="AI31" s="316"/>
      <c r="AJ31" s="515"/>
    </row>
    <row s="3306" customFormat="1" customHeight="1" ht="18.75" hidden="1">
      <c r="A32" s="1398"/>
      <c r="B32" s="1398"/>
      <c r="C32" s="1398"/>
      <c r="D32" s="1398"/>
      <c r="E32" s="1398"/>
      <c r="F32" s="1398"/>
      <c r="G32" s="1398"/>
      <c r="H32" s="1398"/>
      <c r="I32" s="1398"/>
      <c r="J32" s="1398"/>
      <c r="K32" s="1398"/>
      <c r="L32" s="1399"/>
      <c r="M32" s="1398"/>
      <c r="N32" s="1398"/>
      <c r="O32" s="1398"/>
      <c r="S32" s="2098" t="s">
        <v>415</v>
      </c>
      <c r="T32" s="2098"/>
      <c r="U32" s="1402"/>
      <c r="V32" s="2099" t="str">
        <f>IF(TITLE_DATE_PR_CHANGE="",IF(TITLE_DATE_PR="","",TITLE_DATE_PR),TITLE_DATE_PR_CHANGE)</f>
        <v>45245.61800925926</v>
      </c>
      <c r="W32" s="2099"/>
      <c r="X32" s="2099"/>
      <c r="Y32" s="2099"/>
      <c r="Z32" s="2099"/>
      <c r="AA32" s="2099"/>
      <c r="AB32" s="322"/>
      <c r="AC32" s="2099" t="str">
        <f>IF(TITLE_DATE_PR_CHANGE="",IF(TITLE_DATE_PR="","",TITLE_DATE_PR),TITLE_DATE_PR_CHANGE)</f>
        <v>45245.61800925926</v>
      </c>
      <c r="AD32" s="2099"/>
      <c r="AE32" s="2099"/>
      <c r="AF32" s="2099"/>
      <c r="AG32" s="2099"/>
      <c r="AH32" s="2099"/>
      <c r="AI32" s="322"/>
      <c r="AJ32" s="322"/>
      <c r="AK32" s="268"/>
      <c r="AL32" s="368"/>
      <c r="AM32" s="368"/>
      <c r="AN32" s="368"/>
      <c r="AO32" s="368"/>
      <c r="AP32" s="368"/>
    </row>
    <row s="3306" customFormat="1" customHeight="1" ht="18.75" hidden="1">
      <c r="A33" s="1398"/>
      <c r="B33" s="1398"/>
      <c r="C33" s="1398"/>
      <c r="D33" s="1398"/>
      <c r="E33" s="1398"/>
      <c r="F33" s="1398"/>
      <c r="G33" s="1398"/>
      <c r="H33" s="1398"/>
      <c r="I33" s="1398"/>
      <c r="J33" s="1398"/>
      <c r="K33" s="1398"/>
      <c r="L33" s="1399"/>
      <c r="M33" s="1398"/>
      <c r="N33" s="1398"/>
      <c r="O33" s="1398"/>
      <c r="S33" s="2098" t="s">
        <v>416</v>
      </c>
      <c r="T33" s="2098"/>
      <c r="U33" s="1402"/>
      <c r="V33" s="2100" t="str">
        <f>IF(TITLE_NUMBER_PR_CHANGE="",IF(TITLE_NUMBER_PR="","",TITLE_NUMBER_PR),TITLE_NUMBER_PR_CHANGE)</f>
        <v>550</v>
      </c>
      <c r="W33" s="2100"/>
      <c r="X33" s="2100"/>
      <c r="Y33" s="2100"/>
      <c r="Z33" s="2100"/>
      <c r="AA33" s="2100"/>
      <c r="AB33" s="322"/>
      <c r="AC33" s="2100" t="str">
        <f>IF(TITLE_NUMBER_PR_CHANGE="",IF(TITLE_NUMBER_PR="","",TITLE_NUMBER_PR),TITLE_NUMBER_PR_CHANGE)</f>
        <v>550</v>
      </c>
      <c r="AD33" s="2100"/>
      <c r="AE33" s="2100"/>
      <c r="AF33" s="2100"/>
      <c r="AG33" s="2100"/>
      <c r="AH33" s="2100"/>
      <c r="AI33" s="322"/>
      <c r="AJ33" s="322"/>
      <c r="AK33" s="268"/>
      <c r="AL33" s="368"/>
      <c r="AM33" s="368"/>
      <c r="AN33" s="368"/>
      <c r="AO33" s="368"/>
      <c r="AP33" s="368"/>
    </row>
    <row s="3306"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417</v>
      </c>
      <c r="AC34" s="322"/>
      <c r="AD34" s="322"/>
      <c r="AE34" s="322"/>
      <c r="AF34" s="322"/>
      <c r="AG34" s="322"/>
      <c r="AH34" s="322"/>
      <c r="AI34" s="266" t="s">
        <v>417</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291</v>
      </c>
      <c r="T36" s="1971"/>
      <c r="U36" s="1971"/>
      <c r="V36" s="1971"/>
      <c r="W36" s="1971"/>
      <c r="X36" s="1971"/>
      <c r="Y36" s="1971"/>
      <c r="Z36" s="1971"/>
      <c r="AA36" s="1971"/>
      <c r="AB36" s="1971"/>
      <c r="AC36" s="1971"/>
      <c r="AD36" s="1971"/>
      <c r="AE36" s="1971"/>
      <c r="AF36" s="1971"/>
      <c r="AG36" s="1971"/>
      <c r="AH36" s="1971"/>
      <c r="AI36" s="1971"/>
      <c r="AJ36" s="1971"/>
      <c r="AK36" s="1971" t="s">
        <v>292</v>
      </c>
    </row>
    <row customHeight="1" ht="14.25">
      <c r="Q37" s="377"/>
      <c r="R37" s="377"/>
      <c r="S37" s="2125" t="s">
        <v>87</v>
      </c>
      <c r="T37" s="2062" t="s">
        <v>418</v>
      </c>
      <c r="U37" s="289"/>
      <c r="V37" s="2126" t="s">
        <v>419</v>
      </c>
      <c r="W37" s="2127"/>
      <c r="X37" s="2127"/>
      <c r="Y37" s="2127"/>
      <c r="Z37" s="2127"/>
      <c r="AA37" s="2128"/>
      <c r="AB37" s="2129" t="s">
        <v>420</v>
      </c>
      <c r="AC37" s="2126" t="s">
        <v>419</v>
      </c>
      <c r="AD37" s="2127"/>
      <c r="AE37" s="2127"/>
      <c r="AF37" s="2127"/>
      <c r="AG37" s="2127"/>
      <c r="AH37" s="2128"/>
      <c r="AI37" s="2129" t="s">
        <v>421</v>
      </c>
      <c r="AJ37" s="2132" t="s">
        <v>422</v>
      </c>
      <c r="AK37" s="1971"/>
    </row>
    <row customHeight="1" ht="33.75">
      <c r="Q38" s="377"/>
      <c r="R38" s="377"/>
      <c r="S38" s="2125"/>
      <c r="T38" s="2062"/>
      <c r="U38" s="1038"/>
      <c r="V38" s="1513" t="s">
        <v>525</v>
      </c>
      <c r="W38" s="2118" t="s">
        <v>526</v>
      </c>
      <c r="X38" s="2120"/>
      <c r="Y38" s="2118" t="s">
        <v>426</v>
      </c>
      <c r="Z38" s="2119"/>
      <c r="AA38" s="2120"/>
      <c r="AB38" s="2130"/>
      <c r="AC38" s="1513" t="s">
        <v>525</v>
      </c>
      <c r="AD38" s="2118" t="s">
        <v>526</v>
      </c>
      <c r="AE38" s="2120"/>
      <c r="AF38" s="2118" t="s">
        <v>426</v>
      </c>
      <c r="AG38" s="2119"/>
      <c r="AH38" s="2120"/>
      <c r="AI38" s="2130"/>
      <c r="AJ38" s="2133"/>
      <c r="AK38" s="1971"/>
    </row>
    <row customHeight="1" ht="86.25">
      <c r="A39" s="1400"/>
      <c r="B39" s="1400" t="s">
        <v>134</v>
      </c>
      <c r="C39" s="1400" t="s">
        <v>135</v>
      </c>
      <c r="D39" s="1400" t="s">
        <v>136</v>
      </c>
      <c r="E39" s="1394" t="s">
        <v>427</v>
      </c>
      <c r="F39" s="1394" t="s">
        <v>428</v>
      </c>
      <c r="G39" s="1394" t="s">
        <v>429</v>
      </c>
      <c r="H39" s="1394"/>
      <c r="I39" s="1394" t="s">
        <v>485</v>
      </c>
      <c r="J39" s="1394" t="s">
        <v>432</v>
      </c>
      <c r="K39" s="1394" t="s">
        <v>486</v>
      </c>
      <c r="L39" s="1394" t="s">
        <v>408</v>
      </c>
      <c r="Q39" s="377"/>
      <c r="R39" s="377"/>
      <c r="S39" s="2125"/>
      <c r="T39" s="2062"/>
      <c r="U39" s="290"/>
      <c r="V39" s="1513" t="s">
        <v>527</v>
      </c>
      <c r="W39" s="1237" t="s">
        <v>528</v>
      </c>
      <c r="X39" s="1237" t="s">
        <v>529</v>
      </c>
      <c r="Y39" s="1519" t="s">
        <v>436</v>
      </c>
      <c r="Z39" s="2121" t="s">
        <v>437</v>
      </c>
      <c r="AA39" s="2122"/>
      <c r="AB39" s="2131"/>
      <c r="AC39" s="1513" t="s">
        <v>527</v>
      </c>
      <c r="AD39" s="1237" t="s">
        <v>528</v>
      </c>
      <c r="AE39" s="1237" t="s">
        <v>529</v>
      </c>
      <c r="AF39" s="1519" t="s">
        <v>436</v>
      </c>
      <c r="AG39" s="2121" t="s">
        <v>437</v>
      </c>
      <c r="AH39" s="2122"/>
      <c r="AI39" s="2131"/>
      <c r="AJ39" s="2134"/>
      <c r="AK39" s="1971"/>
    </row>
    <row s="2611"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108</v>
      </c>
      <c r="T40" s="1281" t="s">
        <v>109</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242</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122</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242</v>
      </c>
      <c r="B42" s="1393" t="s">
        <v>243</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390</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391</v>
      </c>
      <c r="AM42" s="506"/>
      <c r="AN42" s="506" t="str">
        <f>IF(T42="","",T42)</f>
        <v>Территория действия тарифа</v>
      </c>
      <c r="AO42" s="506"/>
      <c r="AP42" s="506"/>
    </row>
    <row customHeight="1" ht="23.25">
      <c r="A43" s="1393" t="s">
        <v>242</v>
      </c>
      <c r="B43" s="1393" t="s">
        <v>243</v>
      </c>
      <c r="C43" s="1393" t="s">
        <v>244</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523</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524</v>
      </c>
      <c r="AM43" s="506"/>
      <c r="AN43" s="506" t="str">
        <f>IF(T43="","",T43)</f>
        <v>Наименование централизованной системы горячего водоснабжения</v>
      </c>
      <c r="AO43" s="506"/>
      <c r="AP43" s="506"/>
    </row>
    <row customHeight="1" ht="23.25">
      <c r="A44" s="1393" t="s">
        <v>242</v>
      </c>
      <c r="B44" s="1393" t="s">
        <v>243</v>
      </c>
      <c r="C44" s="1393" t="s">
        <v>244</v>
      </c>
      <c r="D44" s="1393" t="s">
        <v>530</v>
      </c>
      <c r="E44" s="2108"/>
      <c r="F44" s="2108"/>
      <c r="G44" s="2108"/>
      <c r="H44" s="2108"/>
      <c r="I44" s="2109" t="str">
        <f>S43&amp;".1"</f>
        <v>...1</v>
      </c>
      <c r="J44" s="1393"/>
      <c r="K44" s="1393"/>
      <c r="L44" s="1394"/>
      <c r="P44" s="2111">
        <v>1</v>
      </c>
      <c r="Q44" s="1511"/>
      <c r="R44" s="352"/>
      <c r="S44" s="1523" t="str">
        <f>$I44</f>
        <v>...1</v>
      </c>
      <c r="T44" s="273" t="s">
        <v>478</v>
      </c>
      <c r="U44" s="288"/>
      <c r="V44" s="2194"/>
      <c r="W44" s="2195"/>
      <c r="X44" s="2195"/>
      <c r="Y44" s="2195"/>
      <c r="Z44" s="2195"/>
      <c r="AA44" s="2195"/>
      <c r="AB44" s="2196"/>
      <c r="AC44" s="2197"/>
      <c r="AD44" s="2198"/>
      <c r="AE44" s="2198"/>
      <c r="AF44" s="2198"/>
      <c r="AG44" s="2198"/>
      <c r="AH44" s="2198"/>
      <c r="AI44" s="2198"/>
      <c r="AJ44" s="2199"/>
      <c r="AK44" s="1286" t="s">
        <v>479</v>
      </c>
      <c r="AM44" s="506"/>
      <c r="AN44" s="506" t="str">
        <f>IF(T44="","",T44)</f>
        <v>Наименование признака дифференциации</v>
      </c>
      <c r="AO44" s="506"/>
      <c r="AP44" s="506"/>
    </row>
    <row customHeight="1" ht="23.25">
      <c r="A45" s="1393" t="s">
        <v>242</v>
      </c>
      <c r="B45" s="1393" t="s">
        <v>243</v>
      </c>
      <c r="C45" s="1393" t="s">
        <v>244</v>
      </c>
      <c r="D45" s="1393" t="s">
        <v>530</v>
      </c>
      <c r="E45" s="2108"/>
      <c r="F45" s="2108"/>
      <c r="G45" s="2108"/>
      <c r="H45" s="2108"/>
      <c r="I45" s="2110"/>
      <c r="J45" s="2109" t="str">
        <f>I44&amp;".1"</f>
        <v>...1.1</v>
      </c>
      <c r="K45" s="1393"/>
      <c r="L45" s="1394" t="s">
        <v>399</v>
      </c>
      <c r="P45" s="2111"/>
      <c r="Q45" s="2111">
        <v>1</v>
      </c>
      <c r="R45" s="353"/>
      <c r="S45" s="1523" t="str">
        <f>$J45</f>
        <v>...1.1</v>
      </c>
      <c r="T45" s="274" t="s">
        <v>400</v>
      </c>
      <c r="U45" s="288"/>
      <c r="V45" s="2095"/>
      <c r="W45" s="2096"/>
      <c r="X45" s="2096"/>
      <c r="Y45" s="2096"/>
      <c r="Z45" s="2096"/>
      <c r="AA45" s="2096"/>
      <c r="AB45" s="2097"/>
      <c r="AC45" s="2095"/>
      <c r="AD45" s="2096"/>
      <c r="AE45" s="2096"/>
      <c r="AF45" s="2096"/>
      <c r="AG45" s="2096"/>
      <c r="AH45" s="2096"/>
      <c r="AI45" s="2096"/>
      <c r="AJ45" s="2097"/>
      <c r="AK45" s="1337" t="s">
        <v>480</v>
      </c>
      <c r="AM45" s="506"/>
      <c r="AN45" s="506" t="str">
        <f>IF(T45="","",T45)</f>
        <v>Группа потребителей</v>
      </c>
      <c r="AO45" s="506"/>
      <c r="AP45" s="506"/>
    </row>
    <row customHeight="1" ht="23.25">
      <c r="A46" s="1393" t="s">
        <v>242</v>
      </c>
      <c r="B46" s="1393" t="s">
        <v>243</v>
      </c>
      <c r="C46" s="1393" t="s">
        <v>244</v>
      </c>
      <c r="D46" s="1393" t="s">
        <v>530</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61</v>
      </c>
      <c r="AA46" s="2105"/>
      <c r="AB46" s="2104" t="s">
        <v>61</v>
      </c>
      <c r="AC46" s="757"/>
      <c r="AD46" s="757"/>
      <c r="AE46" s="1285"/>
      <c r="AF46" s="2112"/>
      <c r="AG46" s="1981" t="s">
        <v>61</v>
      </c>
      <c r="AH46" s="2114"/>
      <c r="AI46" s="1981" t="s">
        <v>56</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242</v>
      </c>
      <c r="B47" s="1393" t="s">
        <v>243</v>
      </c>
      <c r="C47" s="1393" t="s">
        <v>244</v>
      </c>
      <c r="D47" s="1393" t="s">
        <v>530</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242</v>
      </c>
      <c r="B48" s="1393" t="s">
        <v>243</v>
      </c>
      <c r="C48" s="1393" t="s">
        <v>244</v>
      </c>
      <c r="D48" s="1393" t="s">
        <v>530</v>
      </c>
      <c r="E48" s="2108"/>
      <c r="F48" s="2108"/>
      <c r="G48" s="2108"/>
      <c r="H48" s="2108"/>
      <c r="I48" s="2110"/>
      <c r="J48" s="2109"/>
      <c r="K48" s="1393"/>
      <c r="L48" s="1394"/>
      <c r="P48" s="2111"/>
      <c r="Q48" s="2111"/>
      <c r="R48" s="352"/>
      <c r="S48" s="1308"/>
      <c r="T48" s="275" t="s">
        <v>481</v>
      </c>
      <c r="U48" s="367"/>
      <c r="V48" s="367"/>
      <c r="W48" s="367"/>
      <c r="X48" s="367"/>
      <c r="Y48" s="367"/>
      <c r="Z48" s="367"/>
      <c r="AA48" s="367"/>
      <c r="AB48" s="367"/>
      <c r="AC48" s="367"/>
      <c r="AD48" s="367"/>
      <c r="AE48" s="367"/>
      <c r="AF48" s="367"/>
      <c r="AG48" s="367"/>
      <c r="AH48" s="367"/>
      <c r="AI48" s="367"/>
      <c r="AJ48" s="367"/>
      <c r="AK48" s="1286" t="s">
        <v>482</v>
      </c>
      <c r="AM48" s="506"/>
      <c r="AN48" s="506" t="str">
        <f>IF(T48="","",T48)</f>
        <v>Добавить значение признака дифференциации</v>
      </c>
      <c r="AO48" s="506"/>
      <c r="AP48" s="506"/>
    </row>
    <row customHeight="1" ht="21">
      <c r="A49" s="1393" t="s">
        <v>242</v>
      </c>
      <c r="B49" s="1393" t="s">
        <v>243</v>
      </c>
      <c r="C49" s="1393" t="s">
        <v>244</v>
      </c>
      <c r="D49" s="1393" t="s">
        <v>530</v>
      </c>
      <c r="E49" s="2108"/>
      <c r="F49" s="2108"/>
      <c r="G49" s="2108"/>
      <c r="H49" s="2108"/>
      <c r="I49" s="2109"/>
      <c r="J49" s="1393"/>
      <c r="K49" s="1393"/>
      <c r="L49" s="1394"/>
      <c r="P49" s="2111"/>
      <c r="Q49" s="1511"/>
      <c r="R49" s="352"/>
      <c r="S49" s="1308"/>
      <c r="T49" s="364" t="s">
        <v>405</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242</v>
      </c>
      <c r="B50" s="1393" t="s">
        <v>243</v>
      </c>
      <c r="C50" s="1393" t="s">
        <v>244</v>
      </c>
      <c r="D50" s="1393" t="s">
        <v>530</v>
      </c>
      <c r="E50" s="2108"/>
      <c r="F50" s="2108"/>
      <c r="G50" s="2108"/>
      <c r="H50" s="2107"/>
      <c r="I50" s="1393"/>
      <c r="J50" s="1393"/>
      <c r="K50" s="1393"/>
      <c r="L50" s="1394"/>
      <c r="M50" s="1395"/>
      <c r="N50" s="1395"/>
      <c r="O50" s="543"/>
      <c r="P50" s="356"/>
      <c r="Q50" s="376"/>
      <c r="R50" s="351"/>
      <c r="S50" s="1308"/>
      <c r="T50" s="372" t="s">
        <v>483</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4" customFormat="1" customHeight="1" ht="0">
      <c r="A51" s="1373" t="s">
        <v>242</v>
      </c>
      <c r="B51" s="1373" t="s">
        <v>243</v>
      </c>
      <c r="C51" s="1344"/>
      <c r="D51" s="1344"/>
      <c r="E51" s="2108"/>
      <c r="F51" s="2107"/>
      <c r="G51" s="1344"/>
      <c r="H51" s="1344"/>
      <c r="I51" s="1344"/>
      <c r="J51" s="1344"/>
      <c r="K51" s="1344"/>
      <c r="L51" s="1524"/>
      <c r="M51" s="1351"/>
      <c r="N51" s="1351"/>
      <c r="P51" s="1346"/>
      <c r="Q51" s="1347"/>
      <c r="R51" s="1346"/>
      <c r="S51" s="1352"/>
      <c r="T51" s="1355" t="s">
        <v>168</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2" customFormat="1" customHeight="1" ht="0">
      <c r="A52" s="1373" t="s">
        <v>242</v>
      </c>
      <c r="B52" s="1373"/>
      <c r="C52" s="1373"/>
      <c r="D52" s="1373"/>
      <c r="E52" s="2107"/>
      <c r="F52" s="1373"/>
      <c r="G52" s="1373"/>
      <c r="H52" s="1373"/>
      <c r="I52" s="1373"/>
      <c r="J52" s="1373"/>
      <c r="K52" s="1373"/>
      <c r="L52" s="1376"/>
      <c r="M52" s="1351"/>
      <c r="N52" s="1351"/>
      <c r="O52" s="524"/>
      <c r="P52" s="385"/>
      <c r="Q52" s="1374"/>
      <c r="R52" s="385"/>
      <c r="S52" s="1352"/>
      <c r="T52" s="1355" t="s">
        <v>169</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4"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170</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50E902-E529-6168-6829-5ABA2A6040BC}"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93" width="10.57421875" hidden="1"/>
    <col min="2" max="2" style="3293" width="11.00390625" hidden="1" customWidth="1"/>
    <col min="3" max="3" style="3293" width="10.57421875" hidden="1"/>
    <col min="4" max="4" style="3293" width="11.8515625" hidden="1" customWidth="1"/>
    <col min="5" max="5" style="3293" width="10.00390625" hidden="1" customWidth="1"/>
    <col min="6" max="6" style="3293" width="8.7109375" hidden="1" customWidth="1"/>
    <col min="7" max="7" style="3293" width="7.57421875" hidden="1" customWidth="1"/>
    <col min="8" max="8" style="3293" width="11.421875" hidden="1" customWidth="1"/>
    <col min="9" max="9" style="3293" width="14.140625" hidden="1" customWidth="1"/>
    <col min="10" max="10" style="3293" width="9.8515625" hidden="1" customWidth="1"/>
    <col min="11" max="11" style="3293" width="14.7109375" hidden="1" customWidth="1"/>
    <col min="12" max="12" style="4013" width="19.140625" hidden="1" customWidth="1"/>
    <col min="13" max="14" style="3295" width="12.28125" hidden="1" customWidth="1"/>
    <col min="15" max="15" style="3295" width="23.421875" hidden="1" customWidth="1"/>
    <col min="16" max="16" style="4018" width="3.7109375" customWidth="1"/>
    <col min="17" max="18" style="3372" width="3.7109375" customWidth="1"/>
    <col min="19" max="19" style="3373" width="12.7109375" customWidth="1"/>
    <col min="20" max="20" style="2941" width="35.7109375" customWidth="1"/>
    <col min="21" max="21" style="2941" width="0.140625" customWidth="1"/>
    <col min="22" max="24" style="2941" width="24.7109375" hidden="1" customWidth="1"/>
    <col min="25" max="25" style="2941" width="11.7109375" hidden="1" customWidth="1"/>
    <col min="26" max="26" style="2941" width="3.7109375" hidden="1" customWidth="1"/>
    <col min="27" max="27" style="2941" width="11.7109375" hidden="1" customWidth="1"/>
    <col min="28" max="28" style="2941" width="8.57421875" hidden="1" customWidth="1"/>
    <col min="29" max="31" style="2941" width="24.7109375" customWidth="1"/>
    <col min="32" max="32" style="2941" width="11.7109375" customWidth="1"/>
    <col min="33" max="33" style="2941" width="3.7109375" customWidth="1"/>
    <col min="34" max="34" style="2941" width="11.7109375" customWidth="1"/>
    <col min="35" max="35" style="2941" width="8.57421875" hidden="1" customWidth="1"/>
    <col min="36" max="36" style="2941" width="4.7109375" customWidth="1"/>
    <col min="37" max="37" style="2941" width="115.7109375" customWidth="1"/>
    <col min="38" max="39" style="2612" width="10.57421875"/>
    <col min="40" max="40" style="2612" width="11.140625" customWidth="1"/>
    <col min="41" max="42" style="2612"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122</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390</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391</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523</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524</v>
      </c>
      <c r="AM4" s="506"/>
      <c r="AN4" s="506" t="str">
        <f>IF(T4="","",T4)</f>
        <v>Наименование централизованной системы горячего водоснабжения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478</v>
      </c>
      <c r="U5" s="288"/>
      <c r="V5" s="2194"/>
      <c r="W5" s="2195"/>
      <c r="X5" s="2195"/>
      <c r="Y5" s="2195"/>
      <c r="Z5" s="2195"/>
      <c r="AA5" s="2195"/>
      <c r="AB5" s="2196"/>
      <c r="AC5" s="2197"/>
      <c r="AD5" s="2198"/>
      <c r="AE5" s="2198"/>
      <c r="AF5" s="2198"/>
      <c r="AG5" s="2198"/>
      <c r="AH5" s="2198"/>
      <c r="AI5" s="2198"/>
      <c r="AJ5" s="2199"/>
      <c r="AK5" s="1286" t="s">
        <v>479</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399</v>
      </c>
      <c r="P6" s="2111"/>
      <c r="Q6" s="2111">
        <v>1</v>
      </c>
      <c r="R6" s="353"/>
      <c r="S6" s="1523">
        <f>$J6</f>
      </c>
      <c r="T6" s="274" t="s">
        <v>400</v>
      </c>
      <c r="U6" s="288"/>
      <c r="V6" s="2095"/>
      <c r="W6" s="2096"/>
      <c r="X6" s="2096"/>
      <c r="Y6" s="2096"/>
      <c r="Z6" s="2096"/>
      <c r="AA6" s="2096"/>
      <c r="AB6" s="2097"/>
      <c r="AC6" s="2095"/>
      <c r="AD6" s="2096"/>
      <c r="AE6" s="2096"/>
      <c r="AF6" s="2096"/>
      <c r="AG6" s="2096"/>
      <c r="AH6" s="2096"/>
      <c r="AI6" s="2096"/>
      <c r="AJ6" s="2097"/>
      <c r="AK6" s="1337" t="s">
        <v>480</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61</v>
      </c>
      <c r="AA7" s="2112"/>
      <c r="AB7" s="1981" t="s">
        <v>61</v>
      </c>
      <c r="AC7" s="757"/>
      <c r="AD7" s="757"/>
      <c r="AE7" s="1285"/>
      <c r="AF7" s="2112"/>
      <c r="AG7" s="1981" t="s">
        <v>61</v>
      </c>
      <c r="AH7" s="2114"/>
      <c r="AI7" s="1981" t="s">
        <v>61</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481</v>
      </c>
      <c r="U9" s="367"/>
      <c r="V9" s="367"/>
      <c r="W9" s="367"/>
      <c r="X9" s="367"/>
      <c r="Y9" s="367"/>
      <c r="Z9" s="367"/>
      <c r="AA9" s="367"/>
      <c r="AB9" s="367"/>
      <c r="AC9" s="367"/>
      <c r="AD9" s="367"/>
      <c r="AE9" s="367"/>
      <c r="AF9" s="367"/>
      <c r="AG9" s="367"/>
      <c r="AH9" s="367"/>
      <c r="AI9" s="367"/>
      <c r="AJ9" s="367"/>
      <c r="AK9" s="1286" t="s">
        <v>482</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405</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483</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4"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168</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2"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169</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61</v>
      </c>
      <c r="AH15" s="2105"/>
      <c r="AI15" s="2104" t="s">
        <v>61</v>
      </c>
    </row>
    <row customHeight="1" ht="14.25" hidden="1">
      <c r="AC16" s="1390"/>
      <c r="AD16" s="1390"/>
      <c r="AE16" s="324" t="str">
        <f>AF15&amp;"-"&amp;AH15</f>
        <v>-</v>
      </c>
      <c r="AF16" s="2104"/>
      <c r="AG16" s="2104"/>
      <c r="AH16" s="2104"/>
      <c r="AI16" s="2104"/>
    </row>
    <row customHeight="1" ht="14.25" hidden="1">
      <c r="AI17" s="323"/>
    </row>
    <row s="3293" customFormat="1" customHeight="1" ht="22.5" hidden="1">
      <c r="L18" s="1508"/>
      <c r="M18" s="1392"/>
      <c r="N18" s="1392"/>
      <c r="O18" s="1397" t="s">
        <v>407</v>
      </c>
      <c r="P18" s="1392"/>
      <c r="Q18" s="1401"/>
      <c r="R18" s="1401"/>
      <c r="S18" s="735"/>
      <c r="Y18" s="1397"/>
      <c r="AA18" s="1397"/>
      <c r="AB18" s="1396"/>
      <c r="AF18" s="1397"/>
      <c r="AH18" s="1397"/>
      <c r="AI18" s="1396"/>
      <c r="AL18" s="517"/>
      <c r="AM18" s="517"/>
      <c r="AN18" s="517"/>
      <c r="AO18" s="517"/>
      <c r="AP18" s="517"/>
    </row>
    <row s="3293" customFormat="1" customHeight="1" ht="14.25" hidden="1">
      <c r="L19" s="1508"/>
      <c r="M19" s="1392"/>
      <c r="N19" s="1392"/>
      <c r="O19" s="1392"/>
      <c r="P19" s="1392"/>
      <c r="Q19" s="1401"/>
      <c r="R19" s="1401"/>
      <c r="S19" s="735"/>
      <c r="AB19" s="1396"/>
      <c r="AI19" s="1396"/>
      <c r="AL19" s="517"/>
      <c r="AM19" s="517"/>
      <c r="AN19" s="517"/>
      <c r="AO19" s="517"/>
      <c r="AP19" s="517"/>
    </row>
    <row s="3293" customFormat="1" customHeight="1" ht="12" hidden="1">
      <c r="L20" s="1508"/>
      <c r="M20" s="1392"/>
      <c r="N20" s="1392"/>
      <c r="O20" s="1394" t="s">
        <v>408</v>
      </c>
      <c r="P20" s="1392"/>
      <c r="Q20" s="1472"/>
      <c r="R20" s="1472"/>
      <c r="S20" s="735"/>
      <c r="T20" s="1168" t="s">
        <v>409</v>
      </c>
      <c r="Z20" s="172" t="s">
        <v>410</v>
      </c>
      <c r="AB20" s="172" t="s">
        <v>411</v>
      </c>
      <c r="AC20" s="1168" t="s">
        <v>409</v>
      </c>
      <c r="AG20" s="172" t="s">
        <v>412</v>
      </c>
      <c r="AI20" s="172" t="s">
        <v>411</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26.25">
      <c r="Q24" s="377"/>
      <c r="R24" s="377"/>
      <c r="S24" s="2140"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МУП г. Азова "Теплоэнерго"</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06"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Региональная служба по тарифам Ростовской области</v>
      </c>
      <c r="W27" s="2100"/>
      <c r="X27" s="2100"/>
      <c r="Y27" s="2100"/>
      <c r="Z27" s="2100"/>
      <c r="AA27" s="2100"/>
      <c r="AB27" s="322"/>
      <c r="AC27" s="2100" t="str">
        <f>IF(TITLE_NAME_OR_PR_CHANGE="",IF(TITLE_NAME_OR_PR="","",TITLE_NAME_OR_PR),TITLE_NAME_OR_PR_CHANGE)</f>
        <v>Региональная служба по тарифам Ростовской области</v>
      </c>
      <c r="AD27" s="2100"/>
      <c r="AE27" s="2100"/>
      <c r="AF27" s="2100"/>
      <c r="AG27" s="2100"/>
      <c r="AH27" s="2100"/>
      <c r="AI27" s="322"/>
      <c r="AJ27" s="322"/>
      <c r="AK27" s="268"/>
      <c r="AL27" s="368"/>
      <c r="AM27" s="368"/>
      <c r="AN27" s="368"/>
      <c r="AO27" s="368"/>
      <c r="AP27" s="368"/>
    </row>
    <row s="3306" customFormat="1" customHeight="1" ht="18.75">
      <c r="A28" s="1398"/>
      <c r="B28" s="1398"/>
      <c r="C28" s="1398"/>
      <c r="D28" s="1398"/>
      <c r="E28" s="1398"/>
      <c r="F28" s="1398"/>
      <c r="G28" s="1398"/>
      <c r="H28" s="1398"/>
      <c r="I28" s="1398"/>
      <c r="J28" s="1398"/>
      <c r="K28" s="1398"/>
      <c r="L28" s="1399"/>
      <c r="M28" s="1398"/>
      <c r="N28" s="1398"/>
      <c r="O28" s="1398"/>
      <c r="S28" s="2098" t="s">
        <v>413</v>
      </c>
      <c r="T28" s="2098"/>
      <c r="U28" s="1402"/>
      <c r="V28" s="2099" t="str">
        <f>IF(TITLE_DATE_PR_CHANGE="",IF(TITLE_DATE_PR="","",TITLE_DATE_PR),TITLE_DATE_PR_CHANGE)</f>
        <v>45245.61800925926</v>
      </c>
      <c r="W28" s="2099"/>
      <c r="X28" s="2099"/>
      <c r="Y28" s="2099"/>
      <c r="Z28" s="2099"/>
      <c r="AA28" s="2099"/>
      <c r="AB28" s="322"/>
      <c r="AC28" s="2099" t="str">
        <f>IF(TITLE_DATE_PR_CHANGE="",IF(TITLE_DATE_PR="","",TITLE_DATE_PR),TITLE_DATE_PR_CHANGE)</f>
        <v>45245.61800925926</v>
      </c>
      <c r="AD28" s="2099"/>
      <c r="AE28" s="2099"/>
      <c r="AF28" s="2099"/>
      <c r="AG28" s="2099"/>
      <c r="AH28" s="2099"/>
      <c r="AI28" s="322"/>
      <c r="AJ28" s="322"/>
      <c r="AK28" s="268"/>
      <c r="AL28" s="368"/>
      <c r="AM28" s="368"/>
      <c r="AN28" s="368"/>
      <c r="AO28" s="368"/>
      <c r="AP28" s="368"/>
    </row>
    <row s="3306" customFormat="1" customHeight="1" ht="18.75">
      <c r="A29" s="1398"/>
      <c r="B29" s="1398"/>
      <c r="C29" s="1398"/>
      <c r="D29" s="1398"/>
      <c r="E29" s="1398"/>
      <c r="F29" s="1398"/>
      <c r="G29" s="1398"/>
      <c r="H29" s="1398"/>
      <c r="I29" s="1398"/>
      <c r="J29" s="1398"/>
      <c r="K29" s="1398"/>
      <c r="L29" s="1399"/>
      <c r="M29" s="1398"/>
      <c r="N29" s="1398"/>
      <c r="O29" s="1398"/>
      <c r="S29" s="2098" t="s">
        <v>414</v>
      </c>
      <c r="T29" s="2098"/>
      <c r="U29" s="1402"/>
      <c r="V29" s="2100" t="str">
        <f>IF(TITLE_NUMBER_PR_CHANGE="",IF(TITLE_NUMBER_PR="","",TITLE_NUMBER_PR),TITLE_NUMBER_PR_CHANGE)</f>
        <v>550</v>
      </c>
      <c r="W29" s="2100"/>
      <c r="X29" s="2100"/>
      <c r="Y29" s="2100"/>
      <c r="Z29" s="2100"/>
      <c r="AA29" s="2100"/>
      <c r="AB29" s="322"/>
      <c r="AC29" s="2100" t="str">
        <f>IF(TITLE_NUMBER_PR_CHANGE="",IF(TITLE_NUMBER_PR="","",TITLE_NUMBER_PR),TITLE_NUMBER_PR_CHANGE)</f>
        <v>550</v>
      </c>
      <c r="AD29" s="2100"/>
      <c r="AE29" s="2100"/>
      <c r="AF29" s="2100"/>
      <c r="AG29" s="2100"/>
      <c r="AH29" s="2100"/>
      <c r="AI29" s="322"/>
      <c r="AJ29" s="322"/>
      <c r="AK29" s="268"/>
      <c r="AL29" s="368"/>
      <c r="AM29" s="368"/>
      <c r="AN29" s="368"/>
      <c r="AO29" s="368"/>
      <c r="AP29" s="368"/>
    </row>
    <row s="3306" customFormat="1" customHeight="1" ht="18.75">
      <c r="A30" s="1398"/>
      <c r="B30" s="1398"/>
      <c r="C30" s="1398"/>
      <c r="D30" s="1398"/>
      <c r="E30" s="1398"/>
      <c r="F30" s="1398"/>
      <c r="G30" s="1398"/>
      <c r="H30" s="1398"/>
      <c r="I30" s="1398"/>
      <c r="J30" s="1398"/>
      <c r="K30" s="1398"/>
      <c r="L30" s="1399"/>
      <c r="M30" s="1398"/>
      <c r="N30" s="1398"/>
      <c r="O30" s="1398"/>
      <c r="S30" s="2098" t="s">
        <v>40</v>
      </c>
      <c r="T30" s="2098"/>
      <c r="U30" s="1402"/>
      <c r="V30" s="2100" t="str">
        <f>IF(TITLE_IST_PUB_CHANGE="",IF(TITLE_IST_PUB="","",TITLE_IST_PUB),TITLE_IST_PUB_CHANGE)</f>
        <v>https://rst.donland.ru</v>
      </c>
      <c r="W30" s="2100"/>
      <c r="X30" s="2100"/>
      <c r="Y30" s="2100"/>
      <c r="Z30" s="2100"/>
      <c r="AA30" s="2100"/>
      <c r="AB30" s="322"/>
      <c r="AC30" s="2100" t="str">
        <f>IF(TITLE_IST_PUB_CHANGE="",IF(TITLE_IST_PUB="","",TITLE_IST_PUB),TITLE_IST_PUB_CHANGE)</f>
        <v>https://rst.donland.ru</v>
      </c>
      <c r="AD30" s="2100"/>
      <c r="AE30" s="2100"/>
      <c r="AF30" s="2100"/>
      <c r="AG30" s="2100"/>
      <c r="AH30" s="2100"/>
      <c r="AI30" s="322"/>
      <c r="AJ30" s="322"/>
      <c r="AK30" s="268"/>
      <c r="AL30" s="368"/>
      <c r="AM30" s="368"/>
      <c r="AN30" s="368"/>
      <c r="AO30" s="368"/>
      <c r="AP30" s="368"/>
    </row>
    <row customHeight="1" ht="14.25">
      <c r="Q31" s="377"/>
      <c r="R31" s="377"/>
      <c r="S31" s="1305"/>
      <c r="T31" s="361"/>
      <c r="U31" s="361"/>
      <c r="V31" s="316"/>
      <c r="W31" s="316"/>
      <c r="X31" s="316"/>
      <c r="Y31" s="316"/>
      <c r="Z31" s="316"/>
      <c r="AA31" s="316"/>
      <c r="AB31" s="316"/>
      <c r="AC31" s="316"/>
      <c r="AD31" s="316"/>
      <c r="AE31" s="316"/>
      <c r="AF31" s="316"/>
      <c r="AG31" s="316"/>
      <c r="AH31" s="316"/>
      <c r="AI31" s="316"/>
      <c r="AJ31" s="515"/>
    </row>
    <row s="3306" customFormat="1" customHeight="1" ht="18.75">
      <c r="A32" s="1398"/>
      <c r="B32" s="1398"/>
      <c r="C32" s="1398"/>
      <c r="D32" s="1398"/>
      <c r="E32" s="1398"/>
      <c r="F32" s="1398"/>
      <c r="G32" s="1398"/>
      <c r="H32" s="1398"/>
      <c r="I32" s="1398"/>
      <c r="J32" s="1398"/>
      <c r="K32" s="1398"/>
      <c r="L32" s="1399"/>
      <c r="M32" s="1398"/>
      <c r="N32" s="1398"/>
      <c r="O32" s="1398"/>
      <c r="S32" s="2098" t="s">
        <v>415</v>
      </c>
      <c r="T32" s="2098"/>
      <c r="U32" s="1402"/>
      <c r="V32" s="2099" t="str">
        <f>IF(TITLE_DATE_PR_CHANGE="",IF(TITLE_DATE_PR="","",TITLE_DATE_PR),TITLE_DATE_PR_CHANGE)</f>
        <v>45245.61800925926</v>
      </c>
      <c r="W32" s="2099"/>
      <c r="X32" s="2099"/>
      <c r="Y32" s="2099"/>
      <c r="Z32" s="2099"/>
      <c r="AA32" s="2099"/>
      <c r="AB32" s="322"/>
      <c r="AC32" s="2099" t="str">
        <f>IF(TITLE_DATE_PR_CHANGE="",IF(TITLE_DATE_PR="","",TITLE_DATE_PR),TITLE_DATE_PR_CHANGE)</f>
        <v>45245.61800925926</v>
      </c>
      <c r="AD32" s="2099"/>
      <c r="AE32" s="2099"/>
      <c r="AF32" s="2099"/>
      <c r="AG32" s="2099"/>
      <c r="AH32" s="2099"/>
      <c r="AI32" s="322"/>
      <c r="AJ32" s="322"/>
      <c r="AK32" s="268"/>
      <c r="AL32" s="368"/>
      <c r="AM32" s="368"/>
      <c r="AN32" s="368"/>
      <c r="AO32" s="368"/>
      <c r="AP32" s="368"/>
    </row>
    <row s="3306" customFormat="1" customHeight="1" ht="18.75">
      <c r="A33" s="1398"/>
      <c r="B33" s="1398"/>
      <c r="C33" s="1398"/>
      <c r="D33" s="1398"/>
      <c r="E33" s="1398"/>
      <c r="F33" s="1398"/>
      <c r="G33" s="1398"/>
      <c r="H33" s="1398"/>
      <c r="I33" s="1398"/>
      <c r="J33" s="1398"/>
      <c r="K33" s="1398"/>
      <c r="L33" s="1399"/>
      <c r="M33" s="1398"/>
      <c r="N33" s="1398"/>
      <c r="O33" s="1398"/>
      <c r="S33" s="2098" t="s">
        <v>416</v>
      </c>
      <c r="T33" s="2098"/>
      <c r="U33" s="1402"/>
      <c r="V33" s="2100" t="str">
        <f>IF(TITLE_NUMBER_PR_CHANGE="",IF(TITLE_NUMBER_PR="","",TITLE_NUMBER_PR),TITLE_NUMBER_PR_CHANGE)</f>
        <v>550</v>
      </c>
      <c r="W33" s="2100"/>
      <c r="X33" s="2100"/>
      <c r="Y33" s="2100"/>
      <c r="Z33" s="2100"/>
      <c r="AA33" s="2100"/>
      <c r="AB33" s="322"/>
      <c r="AC33" s="2100" t="str">
        <f>IF(TITLE_NUMBER_PR_CHANGE="",IF(TITLE_NUMBER_PR="","",TITLE_NUMBER_PR),TITLE_NUMBER_PR_CHANGE)</f>
        <v>550</v>
      </c>
      <c r="AD33" s="2100"/>
      <c r="AE33" s="2100"/>
      <c r="AF33" s="2100"/>
      <c r="AG33" s="2100"/>
      <c r="AH33" s="2100"/>
      <c r="AI33" s="322"/>
      <c r="AJ33" s="322"/>
      <c r="AK33" s="268"/>
      <c r="AL33" s="368"/>
      <c r="AM33" s="368"/>
      <c r="AN33" s="368"/>
      <c r="AO33" s="368"/>
      <c r="AP33" s="368"/>
    </row>
    <row s="3306"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417</v>
      </c>
      <c r="AC34" s="322"/>
      <c r="AD34" s="322"/>
      <c r="AE34" s="322"/>
      <c r="AF34" s="322"/>
      <c r="AG34" s="322"/>
      <c r="AH34" s="322"/>
      <c r="AI34" s="266" t="s">
        <v>417</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291</v>
      </c>
      <c r="T36" s="1971"/>
      <c r="U36" s="1971"/>
      <c r="V36" s="1971"/>
      <c r="W36" s="1971"/>
      <c r="X36" s="1971"/>
      <c r="Y36" s="1971"/>
      <c r="Z36" s="1971"/>
      <c r="AA36" s="1971"/>
      <c r="AB36" s="1971"/>
      <c r="AC36" s="1971"/>
      <c r="AD36" s="1971"/>
      <c r="AE36" s="1971"/>
      <c r="AF36" s="1971"/>
      <c r="AG36" s="1971"/>
      <c r="AH36" s="1971"/>
      <c r="AI36" s="1971"/>
      <c r="AJ36" s="1971"/>
      <c r="AK36" s="1971" t="s">
        <v>292</v>
      </c>
    </row>
    <row customHeight="1" ht="14.25">
      <c r="Q37" s="377"/>
      <c r="R37" s="377"/>
      <c r="S37" s="2125" t="s">
        <v>87</v>
      </c>
      <c r="T37" s="2062" t="s">
        <v>418</v>
      </c>
      <c r="U37" s="289"/>
      <c r="V37" s="2126" t="s">
        <v>419</v>
      </c>
      <c r="W37" s="2127"/>
      <c r="X37" s="2127"/>
      <c r="Y37" s="2127"/>
      <c r="Z37" s="2127"/>
      <c r="AA37" s="2128"/>
      <c r="AB37" s="2129" t="s">
        <v>420</v>
      </c>
      <c r="AC37" s="2126" t="s">
        <v>419</v>
      </c>
      <c r="AD37" s="2127"/>
      <c r="AE37" s="2127"/>
      <c r="AF37" s="2127"/>
      <c r="AG37" s="2127"/>
      <c r="AH37" s="2128"/>
      <c r="AI37" s="2129" t="s">
        <v>421</v>
      </c>
      <c r="AJ37" s="2132" t="s">
        <v>422</v>
      </c>
      <c r="AK37" s="1971"/>
    </row>
    <row customHeight="1" ht="33.75">
      <c r="Q38" s="377"/>
      <c r="R38" s="377"/>
      <c r="S38" s="2125"/>
      <c r="T38" s="2062"/>
      <c r="U38" s="1038"/>
      <c r="V38" s="1513" t="s">
        <v>525</v>
      </c>
      <c r="W38" s="2118" t="s">
        <v>526</v>
      </c>
      <c r="X38" s="2120"/>
      <c r="Y38" s="2118" t="s">
        <v>426</v>
      </c>
      <c r="Z38" s="2119"/>
      <c r="AA38" s="2120"/>
      <c r="AB38" s="2130"/>
      <c r="AC38" s="1513" t="s">
        <v>525</v>
      </c>
      <c r="AD38" s="2118" t="s">
        <v>526</v>
      </c>
      <c r="AE38" s="2120"/>
      <c r="AF38" s="2118" t="s">
        <v>426</v>
      </c>
      <c r="AG38" s="2119"/>
      <c r="AH38" s="2120"/>
      <c r="AI38" s="2130"/>
      <c r="AJ38" s="2133"/>
      <c r="AK38" s="1971"/>
    </row>
    <row customHeight="1" ht="86.25">
      <c r="A39" s="1400"/>
      <c r="B39" s="1400" t="s">
        <v>134</v>
      </c>
      <c r="C39" s="1400" t="s">
        <v>135</v>
      </c>
      <c r="D39" s="1400" t="s">
        <v>136</v>
      </c>
      <c r="E39" s="1394" t="s">
        <v>427</v>
      </c>
      <c r="F39" s="1394" t="s">
        <v>428</v>
      </c>
      <c r="G39" s="1394" t="s">
        <v>429</v>
      </c>
      <c r="H39" s="1394"/>
      <c r="I39" s="1394" t="s">
        <v>485</v>
      </c>
      <c r="J39" s="1394" t="s">
        <v>432</v>
      </c>
      <c r="K39" s="1394" t="s">
        <v>486</v>
      </c>
      <c r="L39" s="1394" t="s">
        <v>408</v>
      </c>
      <c r="Q39" s="377"/>
      <c r="R39" s="377"/>
      <c r="S39" s="2125"/>
      <c r="T39" s="2062"/>
      <c r="U39" s="290"/>
      <c r="V39" s="1513" t="s">
        <v>527</v>
      </c>
      <c r="W39" s="1237" t="s">
        <v>528</v>
      </c>
      <c r="X39" s="1237" t="s">
        <v>529</v>
      </c>
      <c r="Y39" s="1519" t="s">
        <v>436</v>
      </c>
      <c r="Z39" s="2121" t="s">
        <v>437</v>
      </c>
      <c r="AA39" s="2122"/>
      <c r="AB39" s="2131"/>
      <c r="AC39" s="1513" t="s">
        <v>527</v>
      </c>
      <c r="AD39" s="1237" t="s">
        <v>528</v>
      </c>
      <c r="AE39" s="1237" t="s">
        <v>529</v>
      </c>
      <c r="AF39" s="1519" t="s">
        <v>436</v>
      </c>
      <c r="AG39" s="2121" t="s">
        <v>437</v>
      </c>
      <c r="AH39" s="2122"/>
      <c r="AI39" s="2131"/>
      <c r="AJ39" s="2134"/>
      <c r="AK39" s="1971"/>
    </row>
    <row s="2611"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108</v>
      </c>
      <c r="T40" s="1281" t="s">
        <v>109</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242</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122</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242</v>
      </c>
      <c r="B42" s="1393" t="s">
        <v>243</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390</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391</v>
      </c>
      <c r="AM42" s="506"/>
      <c r="AN42" s="506" t="str">
        <f>IF(T42="","",T42)</f>
        <v>Территория действия тарифа</v>
      </c>
      <c r="AO42" s="506"/>
      <c r="AP42" s="506"/>
    </row>
    <row customHeight="1" ht="23.25">
      <c r="A43" s="1393" t="s">
        <v>242</v>
      </c>
      <c r="B43" s="1393" t="s">
        <v>243</v>
      </c>
      <c r="C43" s="1393" t="s">
        <v>244</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523</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524</v>
      </c>
      <c r="AM43" s="506"/>
      <c r="AN43" s="506" t="str">
        <f>IF(T43="","",T43)</f>
        <v>Наименование централизованной системы горячего водоснабжения</v>
      </c>
      <c r="AO43" s="506"/>
      <c r="AP43" s="506"/>
    </row>
    <row customHeight="1" ht="23.25">
      <c r="A44" s="1393" t="s">
        <v>242</v>
      </c>
      <c r="B44" s="1393" t="s">
        <v>243</v>
      </c>
      <c r="C44" s="1393" t="s">
        <v>244</v>
      </c>
      <c r="D44" s="1393" t="s">
        <v>530</v>
      </c>
      <c r="E44" s="2108"/>
      <c r="F44" s="2108"/>
      <c r="G44" s="2108"/>
      <c r="H44" s="2108"/>
      <c r="I44" s="2109" t="str">
        <f>S43&amp;".1"</f>
        <v>...1</v>
      </c>
      <c r="J44" s="1393"/>
      <c r="K44" s="1393"/>
      <c r="L44" s="1394"/>
      <c r="P44" s="2111">
        <v>1</v>
      </c>
      <c r="Q44" s="1511"/>
      <c r="R44" s="352"/>
      <c r="S44" s="1523" t="str">
        <f>$I44</f>
        <v>...1</v>
      </c>
      <c r="T44" s="273" t="s">
        <v>478</v>
      </c>
      <c r="U44" s="288"/>
      <c r="V44" s="2194"/>
      <c r="W44" s="2195"/>
      <c r="X44" s="2195"/>
      <c r="Y44" s="2195"/>
      <c r="Z44" s="2195"/>
      <c r="AA44" s="2195"/>
      <c r="AB44" s="2196"/>
      <c r="AC44" s="2197"/>
      <c r="AD44" s="2198"/>
      <c r="AE44" s="2198"/>
      <c r="AF44" s="2198"/>
      <c r="AG44" s="2198"/>
      <c r="AH44" s="2198"/>
      <c r="AI44" s="2198"/>
      <c r="AJ44" s="2199"/>
      <c r="AK44" s="1286" t="s">
        <v>479</v>
      </c>
      <c r="AM44" s="506"/>
      <c r="AN44" s="506" t="str">
        <f>IF(T44="","",T44)</f>
        <v>Наименование признака дифференциации</v>
      </c>
      <c r="AO44" s="506"/>
      <c r="AP44" s="506"/>
    </row>
    <row customHeight="1" ht="23.25">
      <c r="A45" s="1393" t="s">
        <v>242</v>
      </c>
      <c r="B45" s="1393" t="s">
        <v>243</v>
      </c>
      <c r="C45" s="1393" t="s">
        <v>244</v>
      </c>
      <c r="D45" s="1393" t="s">
        <v>530</v>
      </c>
      <c r="E45" s="2108"/>
      <c r="F45" s="2108"/>
      <c r="G45" s="2108"/>
      <c r="H45" s="2108"/>
      <c r="I45" s="2110"/>
      <c r="J45" s="2109" t="str">
        <f>I44&amp;".1"</f>
        <v>...1.1</v>
      </c>
      <c r="K45" s="1393"/>
      <c r="L45" s="1394" t="s">
        <v>399</v>
      </c>
      <c r="P45" s="2111"/>
      <c r="Q45" s="2111">
        <v>1</v>
      </c>
      <c r="R45" s="353"/>
      <c r="S45" s="1523" t="str">
        <f>$J45</f>
        <v>...1.1</v>
      </c>
      <c r="T45" s="274" t="s">
        <v>400</v>
      </c>
      <c r="U45" s="288"/>
      <c r="V45" s="2095"/>
      <c r="W45" s="2096"/>
      <c r="X45" s="2096"/>
      <c r="Y45" s="2096"/>
      <c r="Z45" s="2096"/>
      <c r="AA45" s="2096"/>
      <c r="AB45" s="2097"/>
      <c r="AC45" s="2095"/>
      <c r="AD45" s="2096"/>
      <c r="AE45" s="2096"/>
      <c r="AF45" s="2096"/>
      <c r="AG45" s="2096"/>
      <c r="AH45" s="2096"/>
      <c r="AI45" s="2096"/>
      <c r="AJ45" s="2097"/>
      <c r="AK45" s="1337" t="s">
        <v>480</v>
      </c>
      <c r="AM45" s="506"/>
      <c r="AN45" s="506" t="str">
        <f>IF(T45="","",T45)</f>
        <v>Группа потребителей</v>
      </c>
      <c r="AO45" s="506"/>
      <c r="AP45" s="506"/>
    </row>
    <row customHeight="1" ht="23.25">
      <c r="A46" s="1393" t="s">
        <v>242</v>
      </c>
      <c r="B46" s="1393" t="s">
        <v>243</v>
      </c>
      <c r="C46" s="1393" t="s">
        <v>244</v>
      </c>
      <c r="D46" s="1393" t="s">
        <v>530</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61</v>
      </c>
      <c r="AA46" s="2105"/>
      <c r="AB46" s="2104" t="s">
        <v>61</v>
      </c>
      <c r="AC46" s="757"/>
      <c r="AD46" s="757"/>
      <c r="AE46" s="1285"/>
      <c r="AF46" s="2112"/>
      <c r="AG46" s="1981" t="s">
        <v>61</v>
      </c>
      <c r="AH46" s="2114"/>
      <c r="AI46" s="1981" t="s">
        <v>56</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242</v>
      </c>
      <c r="B47" s="1393" t="s">
        <v>243</v>
      </c>
      <c r="C47" s="1393" t="s">
        <v>244</v>
      </c>
      <c r="D47" s="1393" t="s">
        <v>530</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242</v>
      </c>
      <c r="B48" s="1393" t="s">
        <v>243</v>
      </c>
      <c r="C48" s="1393" t="s">
        <v>244</v>
      </c>
      <c r="D48" s="1393" t="s">
        <v>530</v>
      </c>
      <c r="E48" s="2108"/>
      <c r="F48" s="2108"/>
      <c r="G48" s="2108"/>
      <c r="H48" s="2108"/>
      <c r="I48" s="2110"/>
      <c r="J48" s="2109"/>
      <c r="K48" s="1393"/>
      <c r="L48" s="1394"/>
      <c r="P48" s="2111"/>
      <c r="Q48" s="2111"/>
      <c r="R48" s="352"/>
      <c r="S48" s="1308"/>
      <c r="T48" s="275" t="s">
        <v>481</v>
      </c>
      <c r="U48" s="367"/>
      <c r="V48" s="367"/>
      <c r="W48" s="367"/>
      <c r="X48" s="367"/>
      <c r="Y48" s="367"/>
      <c r="Z48" s="367"/>
      <c r="AA48" s="367"/>
      <c r="AB48" s="367"/>
      <c r="AC48" s="367"/>
      <c r="AD48" s="367"/>
      <c r="AE48" s="367"/>
      <c r="AF48" s="367"/>
      <c r="AG48" s="367"/>
      <c r="AH48" s="367"/>
      <c r="AI48" s="367"/>
      <c r="AJ48" s="367"/>
      <c r="AK48" s="1286" t="s">
        <v>482</v>
      </c>
      <c r="AM48" s="506"/>
      <c r="AN48" s="506" t="str">
        <f>IF(T48="","",T48)</f>
        <v>Добавить значение признака дифференциации</v>
      </c>
      <c r="AO48" s="506"/>
      <c r="AP48" s="506"/>
    </row>
    <row customHeight="1" ht="21">
      <c r="A49" s="1393" t="s">
        <v>242</v>
      </c>
      <c r="B49" s="1393" t="s">
        <v>243</v>
      </c>
      <c r="C49" s="1393" t="s">
        <v>244</v>
      </c>
      <c r="D49" s="1393" t="s">
        <v>530</v>
      </c>
      <c r="E49" s="2108"/>
      <c r="F49" s="2108"/>
      <c r="G49" s="2108"/>
      <c r="H49" s="2108"/>
      <c r="I49" s="2109"/>
      <c r="J49" s="1393"/>
      <c r="K49" s="1393"/>
      <c r="L49" s="1394"/>
      <c r="P49" s="2111"/>
      <c r="Q49" s="1511"/>
      <c r="R49" s="352"/>
      <c r="S49" s="1308"/>
      <c r="T49" s="364" t="s">
        <v>405</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242</v>
      </c>
      <c r="B50" s="1393" t="s">
        <v>243</v>
      </c>
      <c r="C50" s="1393" t="s">
        <v>244</v>
      </c>
      <c r="D50" s="1393" t="s">
        <v>530</v>
      </c>
      <c r="E50" s="2108"/>
      <c r="F50" s="2108"/>
      <c r="G50" s="2108"/>
      <c r="H50" s="2107"/>
      <c r="I50" s="1393"/>
      <c r="J50" s="1393"/>
      <c r="K50" s="1393"/>
      <c r="L50" s="1394"/>
      <c r="M50" s="1395"/>
      <c r="N50" s="1395"/>
      <c r="O50" s="543"/>
      <c r="P50" s="356"/>
      <c r="Q50" s="376"/>
      <c r="R50" s="351"/>
      <c r="S50" s="1308"/>
      <c r="T50" s="372" t="s">
        <v>483</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4" customFormat="1" customHeight="1" ht="0">
      <c r="A51" s="1373" t="s">
        <v>242</v>
      </c>
      <c r="B51" s="1373" t="s">
        <v>243</v>
      </c>
      <c r="C51" s="1344"/>
      <c r="D51" s="1344"/>
      <c r="E51" s="2108"/>
      <c r="F51" s="2107"/>
      <c r="G51" s="1344"/>
      <c r="H51" s="1344"/>
      <c r="I51" s="1344"/>
      <c r="J51" s="1344"/>
      <c r="K51" s="1344"/>
      <c r="L51" s="1524"/>
      <c r="M51" s="1351"/>
      <c r="N51" s="1351"/>
      <c r="P51" s="1346"/>
      <c r="Q51" s="1347"/>
      <c r="R51" s="1346"/>
      <c r="S51" s="1352"/>
      <c r="T51" s="1355" t="s">
        <v>168</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2" customFormat="1" customHeight="1" ht="0">
      <c r="A52" s="1373" t="s">
        <v>242</v>
      </c>
      <c r="B52" s="1373"/>
      <c r="C52" s="1373"/>
      <c r="D52" s="1373"/>
      <c r="E52" s="2107"/>
      <c r="F52" s="1373"/>
      <c r="G52" s="1373"/>
      <c r="H52" s="1373"/>
      <c r="I52" s="1373"/>
      <c r="J52" s="1373"/>
      <c r="K52" s="1373"/>
      <c r="L52" s="1376"/>
      <c r="M52" s="1351"/>
      <c r="N52" s="1351"/>
      <c r="O52" s="524"/>
      <c r="P52" s="385"/>
      <c r="Q52" s="1374"/>
      <c r="R52" s="385"/>
      <c r="S52" s="1352"/>
      <c r="T52" s="1355" t="s">
        <v>169</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4"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170</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CA5DC8-51CC-5799-FED8-FA49EA26AB2A}"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3293" width="11.57421875" hidden="1" customWidth="1"/>
    <col min="2" max="2" style="3293" width="11.00390625" hidden="1" customWidth="1"/>
    <col min="3" max="3" style="3293" width="10.57421875" hidden="1"/>
    <col min="4" max="4" style="3293" width="12.8515625" hidden="1" customWidth="1"/>
    <col min="5" max="5" style="3293" width="10.00390625" hidden="1" customWidth="1"/>
    <col min="6" max="6" style="3293" width="8.7109375" hidden="1" customWidth="1"/>
    <col min="7" max="7" style="3293" width="7.57421875" hidden="1" customWidth="1"/>
    <col min="8" max="8" style="3293" width="11.421875" hidden="1" customWidth="1"/>
    <col min="9" max="9" style="3293" width="12.00390625" hidden="1" customWidth="1"/>
    <col min="10" max="10" style="3293" width="9.8515625" hidden="1" customWidth="1"/>
    <col min="11" max="11" style="3293" width="11.421875" hidden="1" customWidth="1"/>
    <col min="12" max="12" style="4013" width="19.140625" hidden="1" customWidth="1"/>
    <col min="13" max="14" style="3295" width="12.28125" hidden="1" customWidth="1"/>
    <col min="15" max="15" style="3295" width="23.421875" hidden="1" customWidth="1"/>
    <col min="16" max="16" style="3295" width="3.7109375" hidden="1" customWidth="1"/>
    <col min="17" max="17" style="3297" width="3.7109375" hidden="1" customWidth="1"/>
    <col min="18" max="18" style="3372" width="3.7109375" customWidth="1"/>
    <col min="19" max="19" style="3373" width="12.7109375" customWidth="1"/>
    <col min="20" max="20" style="2941" width="32.00390625" customWidth="1"/>
    <col min="21" max="21" style="2941" width="0.140625" customWidth="1"/>
    <col min="22" max="25" style="2941" width="21.7109375" hidden="1" customWidth="1"/>
    <col min="26" max="26" style="2941" width="11.7109375" hidden="1" customWidth="1"/>
    <col min="27" max="27" style="2941" width="3.7109375" hidden="1" customWidth="1"/>
    <col min="28" max="28" style="2941" width="11.7109375" hidden="1" customWidth="1"/>
    <col min="29" max="29" style="2941" width="8.57421875" hidden="1" customWidth="1"/>
    <col min="30" max="32" style="2941" width="3.7109375" customWidth="1"/>
    <col min="33" max="33" style="2941" width="24.7109375" customWidth="1"/>
    <col min="34" max="36" style="2941" width="3.7109375" customWidth="1"/>
    <col min="37" max="37" style="2941" width="24.7109375" customWidth="1"/>
    <col min="38" max="40" style="2941" width="3.7109375" customWidth="1"/>
    <col min="41" max="41" style="2941" width="18.8515625" customWidth="1"/>
    <col min="42" max="44" style="2941" width="3.7109375" customWidth="1"/>
    <col min="45" max="45" style="2941" width="18.8515625" customWidth="1"/>
    <col min="46" max="49" style="2941" width="21.7109375" customWidth="1"/>
    <col min="50" max="50" style="2941" width="11.7109375" customWidth="1"/>
    <col min="51" max="51" style="2941" width="3.7109375" customWidth="1"/>
    <col min="52" max="52" style="2941" width="11.7109375" customWidth="1"/>
    <col min="53" max="53" style="2941" width="8.57421875" hidden="1" customWidth="1"/>
    <col min="54" max="54" style="2941" width="4.7109375" customWidth="1"/>
    <col min="55" max="55" style="2941" width="115.7109375" customWidth="1"/>
    <col min="56" max="57" style="2612" width="10.57421875"/>
    <col min="58" max="58" style="2612" width="11.140625" customWidth="1"/>
    <col min="59" max="60" style="2612" width="10.57421875"/>
  </cols>
  <sheetData>
    <row customHeight="1" ht="14.25" hidden="1">
      <c r="W1" s="323"/>
      <c r="Y1" s="323"/>
      <c r="Z1" s="323"/>
      <c r="AW1" s="323"/>
      <c r="AX1" s="323"/>
    </row>
    <row customHeight="1" ht="21" hidden="1">
      <c r="A2" s="1393"/>
      <c r="B2" s="1393"/>
      <c r="C2" s="1393"/>
      <c r="D2" s="1393"/>
      <c r="E2" s="2107">
        <v>1</v>
      </c>
      <c r="F2" s="1393"/>
      <c r="G2" s="1393"/>
      <c r="H2" s="1393"/>
      <c r="I2" s="1393"/>
      <c r="J2" s="1393"/>
      <c r="K2" s="1393"/>
      <c r="L2" s="1394"/>
      <c r="M2" s="1395"/>
      <c r="N2" s="1395"/>
      <c r="O2" s="1395"/>
      <c r="P2" s="1439"/>
      <c r="Q2" s="879"/>
      <c r="R2" s="351"/>
      <c r="S2" s="1523">
        <f>INDEX(PT_DIFFERENTIATION_NUM_NTAR,MATCH(A2,PT_DIFFERENTIATION_NTAR_ID,0))</f>
      </c>
      <c r="T2" s="286" t="s">
        <v>122</v>
      </c>
      <c r="U2" s="288"/>
      <c r="V2" s="2102"/>
      <c r="W2" s="2102"/>
      <c r="X2" s="2102"/>
      <c r="Y2" s="2102"/>
      <c r="Z2" s="2102"/>
      <c r="AA2" s="2102"/>
      <c r="AB2" s="2102"/>
      <c r="AC2" s="2103"/>
      <c r="AD2" s="2101">
        <f>INDEX(PT_DIFFERENTIATION_NTAR,MATCH(A2,PT_DIFFERENTIATION_NTAR_ID,0))</f>
      </c>
      <c r="AE2" s="2102"/>
      <c r="AF2" s="2102"/>
      <c r="AG2" s="2102"/>
      <c r="AH2" s="2102"/>
      <c r="AI2" s="2102"/>
      <c r="AJ2" s="2102"/>
      <c r="AK2" s="2102"/>
      <c r="AL2" s="2102"/>
      <c r="AM2" s="2102"/>
      <c r="AN2" s="2102"/>
      <c r="AO2" s="2102"/>
      <c r="AP2" s="2102"/>
      <c r="AQ2" s="2102"/>
      <c r="AR2" s="2102"/>
      <c r="AS2" s="2102"/>
      <c r="AT2" s="2102"/>
      <c r="AU2" s="2102"/>
      <c r="AV2" s="2102"/>
      <c r="AW2" s="2102"/>
      <c r="AX2" s="2102"/>
      <c r="AY2" s="2102"/>
      <c r="AZ2" s="2102"/>
      <c r="BA2" s="2102"/>
      <c r="BB2" s="2103"/>
      <c r="BC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3"/>
      <c r="B3" s="1393"/>
      <c r="C3" s="1393"/>
      <c r="D3" s="1393"/>
      <c r="E3" s="2108"/>
      <c r="F3" s="2107">
        <v>1</v>
      </c>
      <c r="G3" s="1393"/>
      <c r="H3" s="1393"/>
      <c r="I3" s="1393"/>
      <c r="J3" s="1393"/>
      <c r="K3" s="1393"/>
      <c r="L3" s="1394"/>
      <c r="M3" s="1395"/>
      <c r="N3" s="1395"/>
      <c r="O3" s="1395"/>
      <c r="P3" s="1440"/>
      <c r="Q3" s="1441"/>
      <c r="R3" s="349"/>
      <c r="S3" s="1523">
        <f>INDEX(PT_DIFFERENTIATION_NUM_TER,MATCH(B3,PT_DIFFERENTIATION_TER_ID,0))</f>
      </c>
      <c r="T3" s="298" t="s">
        <v>390</v>
      </c>
      <c r="U3" s="288"/>
      <c r="V3" s="2102"/>
      <c r="W3" s="2102"/>
      <c r="X3" s="2102"/>
      <c r="Y3" s="2102"/>
      <c r="Z3" s="2102"/>
      <c r="AA3" s="2102"/>
      <c r="AB3" s="2102"/>
      <c r="AC3" s="2103"/>
      <c r="AD3" s="2101">
        <f>INDEX(PT_DIFFERENTIATION_TER,MATCH(B3,PT_DIFFERENTIATION_TER_ID,0))</f>
      </c>
      <c r="AE3" s="2102"/>
      <c r="AF3" s="2102"/>
      <c r="AG3" s="2102"/>
      <c r="AH3" s="2102"/>
      <c r="AI3" s="2102"/>
      <c r="AJ3" s="2102"/>
      <c r="AK3" s="2102"/>
      <c r="AL3" s="2102"/>
      <c r="AM3" s="2102"/>
      <c r="AN3" s="2102"/>
      <c r="AO3" s="2102"/>
      <c r="AP3" s="2102"/>
      <c r="AQ3" s="2102"/>
      <c r="AR3" s="2102"/>
      <c r="AS3" s="2102"/>
      <c r="AT3" s="2102"/>
      <c r="AU3" s="2102"/>
      <c r="AV3" s="2102"/>
      <c r="AW3" s="2102"/>
      <c r="AX3" s="2102"/>
      <c r="AY3" s="2102"/>
      <c r="AZ3" s="2102"/>
      <c r="BA3" s="2102"/>
      <c r="BB3" s="2103"/>
      <c r="BC3" s="1286" t="s">
        <v>391</v>
      </c>
      <c r="BE3" s="506"/>
      <c r="BF3" s="506" t="str">
        <f>IF(T3="","",T3)</f>
        <v>Территория действия тарифа</v>
      </c>
      <c r="BG3" s="506"/>
      <c r="BH3" s="506"/>
    </row>
    <row customHeight="1" ht="33.75" hidden="1">
      <c r="A4" s="1393"/>
      <c r="B4" s="1393"/>
      <c r="C4" s="1393"/>
      <c r="D4" s="1393"/>
      <c r="E4" s="2108"/>
      <c r="F4" s="2108"/>
      <c r="G4" s="2107">
        <v>1</v>
      </c>
      <c r="H4" s="1393"/>
      <c r="I4" s="1393"/>
      <c r="J4" s="1393"/>
      <c r="K4" s="1393"/>
      <c r="L4" s="1394"/>
      <c r="M4" s="1395"/>
      <c r="N4" s="1395"/>
      <c r="O4" s="1395"/>
      <c r="P4" s="1442"/>
      <c r="Q4" s="1441"/>
      <c r="R4" s="349"/>
      <c r="S4" s="1523">
        <f>INDEX(PT_DIFFERENTIATION_NUM_CS,MATCH(C4,PT_DIFFERENTIATION_CS_ID,0))</f>
      </c>
      <c r="T4" s="299" t="s">
        <v>523</v>
      </c>
      <c r="U4" s="288"/>
      <c r="V4" s="2102"/>
      <c r="W4" s="2102"/>
      <c r="X4" s="2102"/>
      <c r="Y4" s="2102"/>
      <c r="Z4" s="2102"/>
      <c r="AA4" s="2102"/>
      <c r="AB4" s="2102"/>
      <c r="AC4" s="2103"/>
      <c r="AD4" s="2101">
        <f>INDEX(PT_DIFFERENTIATION_CS,MATCH(C4,PT_DIFFERENTIATION_CS_ID,0))</f>
      </c>
      <c r="AE4" s="2102"/>
      <c r="AF4" s="2102"/>
      <c r="AG4" s="2102"/>
      <c r="AH4" s="2102"/>
      <c r="AI4" s="2102"/>
      <c r="AJ4" s="2102"/>
      <c r="AK4" s="2102"/>
      <c r="AL4" s="2102"/>
      <c r="AM4" s="2102"/>
      <c r="AN4" s="2102"/>
      <c r="AO4" s="2102"/>
      <c r="AP4" s="2102"/>
      <c r="AQ4" s="2102"/>
      <c r="AR4" s="2102"/>
      <c r="AS4" s="2102"/>
      <c r="AT4" s="2102"/>
      <c r="AU4" s="2102"/>
      <c r="AV4" s="2102"/>
      <c r="AW4" s="2102"/>
      <c r="AX4" s="2102"/>
      <c r="AY4" s="2102"/>
      <c r="AZ4" s="2102"/>
      <c r="BA4" s="2102"/>
      <c r="BB4" s="2103"/>
      <c r="BC4" s="1286" t="s">
        <v>524</v>
      </c>
      <c r="BE4" s="506"/>
      <c r="BF4" s="506" t="str">
        <f>IF(T4="","",T4)</f>
        <v>Наименование централизованной системы горячего водоснабжения</v>
      </c>
      <c r="BG4" s="506"/>
      <c r="BH4" s="506"/>
    </row>
    <row s="2612" customFormat="1" customHeight="1" ht="14.25" hidden="1">
      <c r="A5" s="1373"/>
      <c r="B5" s="1373"/>
      <c r="C5" s="1373"/>
      <c r="D5" s="1373"/>
      <c r="E5" s="2108"/>
      <c r="F5" s="2108"/>
      <c r="G5" s="2108"/>
      <c r="H5" s="2107">
        <v>1</v>
      </c>
      <c r="I5" s="1373"/>
      <c r="J5" s="1373"/>
      <c r="K5" s="1373"/>
      <c r="L5" s="1376"/>
      <c r="M5" s="1345"/>
      <c r="N5" s="1345"/>
      <c r="O5" s="1345"/>
      <c r="P5" s="1527"/>
      <c r="Q5" s="1528"/>
      <c r="R5" s="353"/>
      <c r="S5" s="1049"/>
      <c r="T5" s="1529"/>
      <c r="U5" s="1414"/>
      <c r="V5" s="2148"/>
      <c r="W5" s="2148"/>
      <c r="X5" s="2148"/>
      <c r="Y5" s="2148"/>
      <c r="Z5" s="2148"/>
      <c r="AA5" s="2148"/>
      <c r="AB5" s="2148"/>
      <c r="AC5" s="2149"/>
      <c r="AD5" s="2147"/>
      <c r="AE5" s="2148"/>
      <c r="AF5" s="2148"/>
      <c r="AG5" s="2148"/>
      <c r="AH5" s="2148"/>
      <c r="AI5" s="2148"/>
      <c r="AJ5" s="2148"/>
      <c r="AK5" s="2148"/>
      <c r="AL5" s="2148"/>
      <c r="AM5" s="2148"/>
      <c r="AN5" s="2148"/>
      <c r="AO5" s="2148"/>
      <c r="AP5" s="2148"/>
      <c r="AQ5" s="2148"/>
      <c r="AR5" s="2148"/>
      <c r="AS5" s="2148"/>
      <c r="AT5" s="2148"/>
      <c r="AU5" s="2148"/>
      <c r="AV5" s="2148"/>
      <c r="AW5" s="2148"/>
      <c r="AX5" s="2148"/>
      <c r="AY5" s="2148"/>
      <c r="AZ5" s="2148"/>
      <c r="BA5" s="2148"/>
      <c r="BB5" s="2149"/>
      <c r="BC5" s="1415" t="s">
        <v>395</v>
      </c>
      <c r="BE5" s="506"/>
      <c r="BF5" s="506" t="str">
        <f>IF(T5="","",T5)</f>
        <v/>
      </c>
      <c r="BG5" s="506"/>
      <c r="BH5" s="506"/>
    </row>
    <row s="2612" customFormat="1" customHeight="1" ht="14.25" hidden="1">
      <c r="A6" s="1373"/>
      <c r="B6" s="1373"/>
      <c r="C6" s="1373"/>
      <c r="D6" s="1373"/>
      <c r="E6" s="2108"/>
      <c r="F6" s="2108"/>
      <c r="G6" s="2108"/>
      <c r="H6" s="2108"/>
      <c r="I6" s="2109" t="str">
        <f>S5&amp;".1"</f>
        <v>.1</v>
      </c>
      <c r="J6" s="1373"/>
      <c r="K6" s="1373"/>
      <c r="L6" s="1376" t="s">
        <v>396</v>
      </c>
      <c r="M6" s="516"/>
      <c r="N6" s="516"/>
      <c r="O6" s="516"/>
      <c r="P6" s="2111">
        <v>1</v>
      </c>
      <c r="Q6" s="1511"/>
      <c r="R6" s="352"/>
      <c r="S6" s="1049"/>
      <c r="T6" s="1413"/>
      <c r="U6" s="1414"/>
      <c r="V6" s="2148"/>
      <c r="W6" s="2148"/>
      <c r="X6" s="2148"/>
      <c r="Y6" s="2148"/>
      <c r="Z6" s="2148"/>
      <c r="AA6" s="2148"/>
      <c r="AB6" s="2148"/>
      <c r="AC6" s="2149"/>
      <c r="AD6" s="2147"/>
      <c r="AE6" s="2148"/>
      <c r="AF6" s="2148"/>
      <c r="AG6" s="2148"/>
      <c r="AH6" s="2148"/>
      <c r="AI6" s="2148"/>
      <c r="AJ6" s="2148"/>
      <c r="AK6" s="2148"/>
      <c r="AL6" s="2148"/>
      <c r="AM6" s="2148"/>
      <c r="AN6" s="2148"/>
      <c r="AO6" s="2148"/>
      <c r="AP6" s="2148"/>
      <c r="AQ6" s="2148"/>
      <c r="AR6" s="2148"/>
      <c r="AS6" s="2148"/>
      <c r="AT6" s="2148"/>
      <c r="AU6" s="2148"/>
      <c r="AV6" s="2148"/>
      <c r="AW6" s="2148"/>
      <c r="AX6" s="2148"/>
      <c r="AY6" s="2148"/>
      <c r="AZ6" s="2148"/>
      <c r="BA6" s="2148"/>
      <c r="BB6" s="2149"/>
      <c r="BC6" s="1415"/>
      <c r="BE6" s="506"/>
      <c r="BF6" s="506" t="str">
        <f>IF(T6="","",T6)</f>
        <v/>
      </c>
      <c r="BG6" s="506"/>
      <c r="BH6" s="506"/>
    </row>
    <row s="2612" customFormat="1" customHeight="1" ht="14.25" hidden="1">
      <c r="A7" s="1373"/>
      <c r="B7" s="1373"/>
      <c r="C7" s="1373"/>
      <c r="D7" s="1373"/>
      <c r="E7" s="2108"/>
      <c r="F7" s="2108"/>
      <c r="G7" s="2108"/>
      <c r="H7" s="2108"/>
      <c r="I7" s="2110"/>
      <c r="J7" s="2109" t="str">
        <f>S5&amp;".1"</f>
        <v>.1</v>
      </c>
      <c r="K7" s="1373"/>
      <c r="L7" s="1376"/>
      <c r="M7" s="516"/>
      <c r="N7" s="516"/>
      <c r="O7" s="516"/>
      <c r="P7" s="2111"/>
      <c r="Q7" s="2111">
        <v>1</v>
      </c>
      <c r="R7" s="353"/>
      <c r="S7" s="1049"/>
      <c r="T7" s="1429"/>
      <c r="U7" s="1414"/>
      <c r="V7" s="2148"/>
      <c r="W7" s="2148"/>
      <c r="X7" s="2148"/>
      <c r="Y7" s="2148"/>
      <c r="Z7" s="2148"/>
      <c r="AA7" s="2148"/>
      <c r="AB7" s="2148"/>
      <c r="AC7" s="2149"/>
      <c r="AD7" s="2147"/>
      <c r="AE7" s="2148"/>
      <c r="AF7" s="2148"/>
      <c r="AG7" s="2148"/>
      <c r="AH7" s="2148"/>
      <c r="AI7" s="2148"/>
      <c r="AJ7" s="2148"/>
      <c r="AK7" s="2148"/>
      <c r="AL7" s="2148"/>
      <c r="AM7" s="2148"/>
      <c r="AN7" s="2148"/>
      <c r="AO7" s="2148"/>
      <c r="AP7" s="2148"/>
      <c r="AQ7" s="2148"/>
      <c r="AR7" s="2148"/>
      <c r="AS7" s="2148"/>
      <c r="AT7" s="2148"/>
      <c r="AU7" s="2148"/>
      <c r="AV7" s="2148"/>
      <c r="AW7" s="2148"/>
      <c r="AX7" s="2148"/>
      <c r="AY7" s="2148"/>
      <c r="AZ7" s="2148"/>
      <c r="BA7" s="2148"/>
      <c r="BB7" s="2149"/>
      <c r="BC7" s="1415"/>
      <c r="BE7" s="506"/>
      <c r="BF7" s="506" t="str">
        <f>IF(T7="","",T7)</f>
        <v/>
      </c>
      <c r="BG7" s="506"/>
      <c r="BH7" s="506"/>
    </row>
    <row customHeight="1" ht="11.25" hidden="1">
      <c r="A8" s="1393"/>
      <c r="B8" s="1393"/>
      <c r="C8" s="1393"/>
      <c r="D8" s="1393"/>
      <c r="E8" s="2108"/>
      <c r="F8" s="2108"/>
      <c r="G8" s="2108"/>
      <c r="H8" s="2108"/>
      <c r="I8" s="2110"/>
      <c r="J8" s="2110"/>
      <c r="K8" s="2109">
        <f>S4&amp;".1"</f>
      </c>
      <c r="L8" s="1394"/>
      <c r="P8" s="2111"/>
      <c r="Q8" s="2111"/>
      <c r="R8" s="2187">
        <v>1</v>
      </c>
      <c r="S8" s="2184">
        <f>$K8</f>
      </c>
      <c r="T8" s="2203"/>
      <c r="U8" s="288"/>
      <c r="V8" s="757"/>
      <c r="W8" s="1285"/>
      <c r="X8" s="757"/>
      <c r="Y8" s="1285"/>
      <c r="Z8" s="1774"/>
      <c r="AA8" s="1499" t="s">
        <v>61</v>
      </c>
      <c r="AB8" s="1774"/>
      <c r="AC8" s="1499" t="s">
        <v>61</v>
      </c>
      <c r="AD8" s="2044" t="s">
        <v>61</v>
      </c>
      <c r="AE8" s="2180"/>
      <c r="AF8" s="2057">
        <v>1</v>
      </c>
      <c r="AG8" s="2202"/>
      <c r="AH8" s="1981" t="s">
        <v>61</v>
      </c>
      <c r="AI8" s="2180"/>
      <c r="AJ8" s="2057">
        <v>1</v>
      </c>
      <c r="AK8" s="2201" t="s">
        <v>24</v>
      </c>
      <c r="AL8" s="1981" t="s">
        <v>61</v>
      </c>
      <c r="AM8" s="2029"/>
      <c r="AN8" s="2057">
        <v>1</v>
      </c>
      <c r="AO8" s="2206"/>
      <c r="AP8" s="2207" t="s">
        <v>61</v>
      </c>
      <c r="AQ8" s="301"/>
      <c r="AR8" s="1516">
        <v>1</v>
      </c>
      <c r="AS8" s="1522" t="s">
        <v>24</v>
      </c>
      <c r="AT8" s="757"/>
      <c r="AU8" s="1285"/>
      <c r="AV8" s="757"/>
      <c r="AW8" s="1285"/>
      <c r="AX8" s="1774"/>
      <c r="AY8" s="1499" t="s">
        <v>61</v>
      </c>
      <c r="AZ8" s="1774"/>
      <c r="BA8" s="1499" t="s">
        <v>61</v>
      </c>
      <c r="BB8" s="1378"/>
      <c r="BC8" s="2137" t="s">
        <v>494</v>
      </c>
      <c r="BE8" s="506"/>
      <c r="BF8" s="506" t="str">
        <f>IF(T8="","",T8)</f>
        <v/>
      </c>
      <c r="BG8" s="506"/>
      <c r="BH8" s="506"/>
    </row>
    <row customHeight="1" ht="11.25" hidden="1">
      <c r="A9" s="1393"/>
      <c r="B9" s="1393"/>
      <c r="C9" s="1393"/>
      <c r="D9" s="1393"/>
      <c r="E9" s="2108"/>
      <c r="F9" s="2108"/>
      <c r="G9" s="2108"/>
      <c r="H9" s="2108"/>
      <c r="I9" s="2110"/>
      <c r="J9" s="2110"/>
      <c r="K9" s="2109"/>
      <c r="L9" s="1394"/>
      <c r="P9" s="2111"/>
      <c r="Q9" s="2111"/>
      <c r="R9" s="2187"/>
      <c r="S9" s="2185"/>
      <c r="T9" s="2204"/>
      <c r="U9" s="288"/>
      <c r="V9" s="1423"/>
      <c r="W9" s="1526"/>
      <c r="X9" s="1423"/>
      <c r="Y9" s="1526"/>
      <c r="Z9" s="1423"/>
      <c r="AA9" s="1423"/>
      <c r="AB9" s="1423"/>
      <c r="AC9" s="1423"/>
      <c r="AD9" s="2045"/>
      <c r="AE9" s="2180"/>
      <c r="AF9" s="2057"/>
      <c r="AG9" s="2202"/>
      <c r="AH9" s="1981"/>
      <c r="AI9" s="2180"/>
      <c r="AJ9" s="2057"/>
      <c r="AK9" s="2201"/>
      <c r="AL9" s="1981"/>
      <c r="AM9" s="2037"/>
      <c r="AN9" s="2057"/>
      <c r="AO9" s="2206"/>
      <c r="AP9" s="2208"/>
      <c r="AQ9" s="308"/>
      <c r="AR9" s="422"/>
      <c r="AS9" s="422" t="s">
        <v>495</v>
      </c>
      <c r="AT9" s="1423"/>
      <c r="AU9" s="1526"/>
      <c r="AV9" s="1423"/>
      <c r="AW9" s="1526"/>
      <c r="AX9" s="1423"/>
      <c r="AY9" s="1423"/>
      <c r="AZ9" s="1423"/>
      <c r="BA9" s="1423"/>
      <c r="BB9" s="1427"/>
      <c r="BC9" s="2138"/>
      <c r="BE9" s="506"/>
      <c r="BF9" s="506"/>
      <c r="BG9" s="506"/>
      <c r="BH9" s="506"/>
    </row>
    <row customHeight="1" ht="11.25" hidden="1">
      <c r="A10" s="1393"/>
      <c r="B10" s="1393"/>
      <c r="C10" s="1393"/>
      <c r="D10" s="1393"/>
      <c r="E10" s="2108"/>
      <c r="F10" s="2108"/>
      <c r="G10" s="2108"/>
      <c r="H10" s="2108"/>
      <c r="I10" s="2110"/>
      <c r="J10" s="2110"/>
      <c r="K10" s="2109"/>
      <c r="L10" s="1394"/>
      <c r="P10" s="2111"/>
      <c r="Q10" s="2111"/>
      <c r="R10" s="2187"/>
      <c r="S10" s="2185"/>
      <c r="T10" s="2204"/>
      <c r="U10" s="288"/>
      <c r="V10" s="1423"/>
      <c r="W10" s="1526"/>
      <c r="X10" s="1423"/>
      <c r="Y10" s="1526"/>
      <c r="Z10" s="1423"/>
      <c r="AA10" s="1423"/>
      <c r="AB10" s="1423"/>
      <c r="AC10" s="1423"/>
      <c r="AD10" s="2045"/>
      <c r="AE10" s="2180"/>
      <c r="AF10" s="2057"/>
      <c r="AG10" s="2202"/>
      <c r="AH10" s="1981"/>
      <c r="AI10" s="2180"/>
      <c r="AJ10" s="2057"/>
      <c r="AK10" s="2201"/>
      <c r="AL10" s="1981"/>
      <c r="AM10" s="308"/>
      <c r="AN10" s="1530"/>
      <c r="AO10" s="1530" t="s">
        <v>496</v>
      </c>
      <c r="AP10" s="422"/>
      <c r="AQ10" s="422"/>
      <c r="AR10" s="422"/>
      <c r="AS10" s="1423"/>
      <c r="AT10" s="1423"/>
      <c r="AU10" s="1526"/>
      <c r="AV10" s="1423"/>
      <c r="AW10" s="1526"/>
      <c r="AX10" s="1423"/>
      <c r="AY10" s="1423"/>
      <c r="AZ10" s="1423"/>
      <c r="BA10" s="1423"/>
      <c r="BB10" s="1427"/>
      <c r="BC10" s="2138"/>
      <c r="BE10" s="506"/>
      <c r="BF10" s="506"/>
      <c r="BG10" s="506"/>
      <c r="BH10" s="506"/>
    </row>
    <row customHeight="1" ht="11.25" hidden="1">
      <c r="A11" s="1393"/>
      <c r="B11" s="1393"/>
      <c r="C11" s="1393"/>
      <c r="D11" s="1393"/>
      <c r="E11" s="2108"/>
      <c r="F11" s="2108"/>
      <c r="G11" s="2108"/>
      <c r="H11" s="2108"/>
      <c r="I11" s="2110"/>
      <c r="J11" s="2110"/>
      <c r="K11" s="2109"/>
      <c r="L11" s="1394"/>
      <c r="P11" s="2111"/>
      <c r="Q11" s="2111"/>
      <c r="R11" s="2187"/>
      <c r="S11" s="2185"/>
      <c r="T11" s="2204"/>
      <c r="U11" s="288"/>
      <c r="V11" s="1423"/>
      <c r="W11" s="1526"/>
      <c r="X11" s="1423"/>
      <c r="Y11" s="1526"/>
      <c r="Z11" s="1423"/>
      <c r="AA11" s="1423"/>
      <c r="AB11" s="1423"/>
      <c r="AC11" s="1423"/>
      <c r="AD11" s="2045"/>
      <c r="AE11" s="2180"/>
      <c r="AF11" s="2057"/>
      <c r="AG11" s="2202"/>
      <c r="AH11" s="1981"/>
      <c r="AI11" s="282"/>
      <c r="AJ11" s="421"/>
      <c r="AK11" s="303" t="s">
        <v>497</v>
      </c>
      <c r="AL11" s="1423"/>
      <c r="AM11" s="1423"/>
      <c r="AN11" s="1423"/>
      <c r="AO11" s="1423"/>
      <c r="AP11" s="1423"/>
      <c r="AQ11" s="1423"/>
      <c r="AR11" s="1423"/>
      <c r="AS11" s="1423"/>
      <c r="AT11" s="1423"/>
      <c r="AU11" s="1526"/>
      <c r="AV11" s="1423"/>
      <c r="AW11" s="1526"/>
      <c r="AX11" s="1423"/>
      <c r="AY11" s="1423"/>
      <c r="AZ11" s="1423"/>
      <c r="BA11" s="1423"/>
      <c r="BB11" s="1427"/>
      <c r="BC11" s="2138"/>
      <c r="BE11" s="506"/>
      <c r="BF11" s="506"/>
      <c r="BG11" s="506"/>
      <c r="BH11" s="506"/>
    </row>
    <row customHeight="1" ht="11.25" hidden="1">
      <c r="A12" s="1393"/>
      <c r="B12" s="1393"/>
      <c r="C12" s="1393"/>
      <c r="D12" s="1393"/>
      <c r="E12" s="2108"/>
      <c r="F12" s="2108"/>
      <c r="G12" s="2108"/>
      <c r="H12" s="2108"/>
      <c r="I12" s="2110"/>
      <c r="J12" s="2110"/>
      <c r="K12" s="2109"/>
      <c r="L12" s="1394"/>
      <c r="P12" s="2111"/>
      <c r="Q12" s="2111"/>
      <c r="R12" s="2187"/>
      <c r="S12" s="2186"/>
      <c r="T12" s="2205"/>
      <c r="U12" s="288"/>
      <c r="V12" s="1423"/>
      <c r="W12" s="1424" t="str">
        <f>Z8&amp;"-"&amp;AB8</f>
        <v>-</v>
      </c>
      <c r="X12" s="1423"/>
      <c r="Y12" s="1424" t="str">
        <f>AB8&amp;"-"&amp;AD8</f>
        <v>-да</v>
      </c>
      <c r="Z12" s="1423"/>
      <c r="AA12" s="1423"/>
      <c r="AB12" s="1423"/>
      <c r="AC12" s="1423"/>
      <c r="AD12" s="1986"/>
      <c r="AE12" s="302"/>
      <c r="AF12" s="304"/>
      <c r="AG12" s="422" t="s">
        <v>498</v>
      </c>
      <c r="AH12" s="1423"/>
      <c r="AI12" s="1423"/>
      <c r="AJ12" s="1423"/>
      <c r="AK12" s="1423"/>
      <c r="AL12" s="1423"/>
      <c r="AM12" s="1423"/>
      <c r="AN12" s="1423"/>
      <c r="AO12" s="1423"/>
      <c r="AP12" s="1423"/>
      <c r="AQ12" s="1423"/>
      <c r="AR12" s="1423"/>
      <c r="AS12" s="1423"/>
      <c r="AT12" s="1423"/>
      <c r="AU12" s="1424" t="str">
        <f>AX8&amp;"-"&amp;AZ8</f>
        <v>-</v>
      </c>
      <c r="AV12" s="1423"/>
      <c r="AW12" s="1424" t="str">
        <f>AZ8&amp;"-"&amp;BB8</f>
        <v>-</v>
      </c>
      <c r="AX12" s="1423"/>
      <c r="AY12" s="1423"/>
      <c r="AZ12" s="1423"/>
      <c r="BA12" s="1423"/>
      <c r="BB12" s="1426" t="str">
        <f>BE8&amp;"-"&amp;BG8</f>
        <v>-</v>
      </c>
      <c r="BC12" s="2138"/>
      <c r="BE12" s="506"/>
      <c r="BF12" s="506" t="str">
        <f>IF(T12="","",T12)</f>
        <v/>
      </c>
      <c r="BG12" s="506"/>
      <c r="BH12" s="506"/>
    </row>
    <row customHeight="1" ht="11.25" hidden="1">
      <c r="A13" s="1393"/>
      <c r="B13" s="1393"/>
      <c r="C13" s="1393"/>
      <c r="D13" s="1393"/>
      <c r="E13" s="2108"/>
      <c r="F13" s="2108"/>
      <c r="G13" s="2108"/>
      <c r="H13" s="2108"/>
      <c r="I13" s="2110"/>
      <c r="J13" s="2109"/>
      <c r="K13" s="1393"/>
      <c r="L13" s="1394"/>
      <c r="P13" s="2111"/>
      <c r="Q13" s="2111"/>
      <c r="R13" s="352"/>
      <c r="S13" s="1308"/>
      <c r="T13" s="275" t="s">
        <v>462</v>
      </c>
      <c r="U13" s="367"/>
      <c r="V13" s="367"/>
      <c r="W13" s="367"/>
      <c r="X13" s="367"/>
      <c r="Y13" s="367"/>
      <c r="Z13" s="367"/>
      <c r="AA13" s="367"/>
      <c r="AB13" s="367"/>
      <c r="AC13" s="367"/>
      <c r="AD13" s="153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9"/>
      <c r="BE13" s="506"/>
      <c r="BF13" s="506" t="str">
        <f>IF(T13="","",T13)</f>
        <v>Добавить строку</v>
      </c>
      <c r="BG13" s="506"/>
      <c r="BH13" s="506"/>
    </row>
    <row s="2612" customFormat="1" customHeight="1" ht="14.25" hidden="1">
      <c r="A14" s="1373"/>
      <c r="B14" s="1373"/>
      <c r="C14" s="1373"/>
      <c r="D14" s="1373"/>
      <c r="E14" s="2108"/>
      <c r="F14" s="2108"/>
      <c r="G14" s="2108"/>
      <c r="H14" s="2108"/>
      <c r="I14" s="2109"/>
      <c r="J14" s="1373"/>
      <c r="K14" s="1373"/>
      <c r="L14" s="1376"/>
      <c r="M14" s="516"/>
      <c r="N14" s="516"/>
      <c r="O14" s="516"/>
      <c r="P14" s="2111"/>
      <c r="Q14" s="1511"/>
      <c r="R14" s="352"/>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8"/>
      <c r="AV14" s="1418"/>
      <c r="AW14" s="1418"/>
      <c r="AX14" s="1418"/>
      <c r="AY14" s="1418"/>
      <c r="AZ14" s="1418"/>
      <c r="BA14" s="1418"/>
      <c r="BB14" s="1418"/>
      <c r="BC14" s="1419"/>
      <c r="BE14" s="506"/>
      <c r="BF14" s="506" t="str">
        <f>IF(T14="","",T14)</f>
        <v/>
      </c>
      <c r="BG14" s="506"/>
      <c r="BH14" s="506"/>
    </row>
    <row s="2612" customFormat="1" customHeight="1" ht="14.25" hidden="1">
      <c r="A15" s="1373"/>
      <c r="B15" s="1373"/>
      <c r="C15" s="1373"/>
      <c r="D15" s="1373"/>
      <c r="E15" s="2108"/>
      <c r="F15" s="2108"/>
      <c r="G15" s="2108"/>
      <c r="H15" s="2107"/>
      <c r="I15" s="1373"/>
      <c r="J15" s="1373"/>
      <c r="K15" s="1373"/>
      <c r="L15" s="1376"/>
      <c r="M15" s="1345"/>
      <c r="N15" s="1345"/>
      <c r="O15" s="524"/>
      <c r="P15" s="385"/>
      <c r="Q15" s="1374"/>
      <c r="R15" s="1431"/>
      <c r="S15" s="1416"/>
      <c r="T15" s="1417"/>
      <c r="U15" s="1418"/>
      <c r="V15" s="1418"/>
      <c r="W15" s="1418"/>
      <c r="X15" s="1418"/>
      <c r="Y15" s="1418"/>
      <c r="Z15" s="1418"/>
      <c r="AA15" s="1418"/>
      <c r="AB15" s="1418"/>
      <c r="AC15" s="1418"/>
      <c r="AD15" s="1418"/>
      <c r="AE15" s="1418"/>
      <c r="AF15" s="1418"/>
      <c r="AG15" s="1418"/>
      <c r="AH15" s="1418"/>
      <c r="AI15" s="1418"/>
      <c r="AJ15" s="1418"/>
      <c r="AK15" s="1418"/>
      <c r="AL15" s="1418"/>
      <c r="AM15" s="1418"/>
      <c r="AN15" s="1418"/>
      <c r="AO15" s="1418"/>
      <c r="AP15" s="1418"/>
      <c r="AQ15" s="1418"/>
      <c r="AR15" s="1418"/>
      <c r="AS15" s="1418"/>
      <c r="AT15" s="1418"/>
      <c r="AU15" s="1418"/>
      <c r="AV15" s="1418"/>
      <c r="AW15" s="1418"/>
      <c r="AX15" s="1418"/>
      <c r="AY15" s="1418"/>
      <c r="AZ15" s="1418"/>
      <c r="BA15" s="1418"/>
      <c r="BB15" s="1418"/>
      <c r="BC15" s="1419"/>
      <c r="BE15" s="506"/>
      <c r="BF15" s="506" t="str">
        <f>IF(T15="","",T15)</f>
        <v/>
      </c>
      <c r="BG15" s="506"/>
      <c r="BH15" s="506"/>
    </row>
    <row s="3274" customFormat="1" customHeight="1" ht="14.25" hidden="1">
      <c r="A16" s="1373"/>
      <c r="B16" s="1373"/>
      <c r="C16" s="1373"/>
      <c r="D16" s="1344"/>
      <c r="E16" s="2108"/>
      <c r="F16" s="2108"/>
      <c r="G16" s="2107"/>
      <c r="H16" s="1344"/>
      <c r="I16" s="1344"/>
      <c r="J16" s="1344"/>
      <c r="K16" s="1344"/>
      <c r="L16" s="1524"/>
      <c r="M16" s="1345"/>
      <c r="N16" s="1345"/>
      <c r="P16" s="1346"/>
      <c r="Q16" s="1347"/>
      <c r="R16" s="1346"/>
      <c r="S16" s="1352"/>
      <c r="T16" s="1355"/>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V16" s="1354"/>
      <c r="AW16" s="1354"/>
      <c r="AX16" s="1354"/>
      <c r="AY16" s="1354"/>
      <c r="AZ16" s="1354"/>
      <c r="BA16" s="1354"/>
      <c r="BB16" s="1354"/>
      <c r="BC16" s="1354"/>
      <c r="BE16" s="795"/>
      <c r="BF16" s="795" t="str">
        <f>IF(T16="","",T16)</f>
        <v/>
      </c>
      <c r="BG16" s="795"/>
      <c r="BH16" s="795"/>
    </row>
    <row s="3274" customFormat="1" customHeight="1" ht="14.25" hidden="1">
      <c r="A17" s="1373"/>
      <c r="B17" s="1373"/>
      <c r="C17" s="1344"/>
      <c r="D17" s="1344"/>
      <c r="E17" s="2108"/>
      <c r="F17" s="2107"/>
      <c r="G17" s="1344"/>
      <c r="H17" s="1344"/>
      <c r="I17" s="1344"/>
      <c r="J17" s="1344"/>
      <c r="K17" s="1344"/>
      <c r="L17" s="1524"/>
      <c r="M17" s="1351"/>
      <c r="N17" s="1351"/>
      <c r="P17" s="1346"/>
      <c r="Q17" s="1347"/>
      <c r="R17" s="1346"/>
      <c r="S17" s="1352"/>
      <c r="T17" s="1355" t="s">
        <v>168</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V17" s="1354"/>
      <c r="AW17" s="1354"/>
      <c r="AX17" s="1354"/>
      <c r="AY17" s="1354"/>
      <c r="AZ17" s="1354"/>
      <c r="BA17" s="1354"/>
      <c r="BB17" s="1354"/>
      <c r="BC17" s="1354"/>
      <c r="BE17" s="795"/>
      <c r="BF17" s="795" t="str">
        <f>IF(T17="","",T17)</f>
        <v>Добавить централизованную систему для дифференциации</v>
      </c>
      <c r="BG17" s="795"/>
      <c r="BH17" s="795"/>
    </row>
    <row s="2612" customFormat="1" customHeight="1" ht="14.25" hidden="1">
      <c r="A18" s="1373"/>
      <c r="B18" s="1373"/>
      <c r="C18" s="1373"/>
      <c r="D18" s="1373"/>
      <c r="E18" s="2107"/>
      <c r="F18" s="1373"/>
      <c r="G18" s="1373"/>
      <c r="H18" s="1373"/>
      <c r="I18" s="1373"/>
      <c r="J18" s="1373"/>
      <c r="K18" s="1373"/>
      <c r="L18" s="1376"/>
      <c r="M18" s="1351"/>
      <c r="N18" s="1351"/>
      <c r="O18" s="524"/>
      <c r="P18" s="385"/>
      <c r="Q18" s="1374"/>
      <c r="R18" s="385"/>
      <c r="S18" s="1352"/>
      <c r="T18" s="1355" t="s">
        <v>169</v>
      </c>
      <c r="U18" s="1354"/>
      <c r="V18" s="1354"/>
      <c r="W18" s="1354"/>
      <c r="X18" s="1354"/>
      <c r="Y18" s="1354"/>
      <c r="Z18" s="1354"/>
      <c r="AA18" s="1354"/>
      <c r="AB18" s="1354"/>
      <c r="AC18" s="1354"/>
      <c r="AD18" s="1354"/>
      <c r="AE18" s="1354"/>
      <c r="AF18" s="1354"/>
      <c r="AG18" s="1354"/>
      <c r="AH18" s="1354"/>
      <c r="AI18" s="1354"/>
      <c r="AJ18" s="1354"/>
      <c r="AK18" s="1354"/>
      <c r="AL18" s="1354"/>
      <c r="AM18" s="1354"/>
      <c r="AN18" s="1354"/>
      <c r="AO18" s="1354"/>
      <c r="AP18" s="1354"/>
      <c r="AQ18" s="1354"/>
      <c r="AR18" s="1354"/>
      <c r="AS18" s="1354"/>
      <c r="AT18" s="1354"/>
      <c r="AU18" s="1354"/>
      <c r="AV18" s="1354"/>
      <c r="AW18" s="1354"/>
      <c r="AX18" s="1354"/>
      <c r="AY18" s="1354"/>
      <c r="AZ18" s="1354"/>
      <c r="BA18" s="1354"/>
      <c r="BB18" s="1354"/>
      <c r="BC18" s="1354"/>
      <c r="BE18" s="506"/>
      <c r="BF18" s="506" t="str">
        <f>IF(T18="","",T18)</f>
        <v>Добавить территорию для дифференциации</v>
      </c>
      <c r="BG18" s="506"/>
      <c r="BH18" s="506"/>
    </row>
    <row customHeight="1" ht="14.25" hidden="1">
      <c r="AC19" s="323"/>
      <c r="BA19" s="323"/>
    </row>
    <row customHeight="1" ht="14.25" hidden="1">
      <c r="AD20" s="1354" t="s">
        <v>56</v>
      </c>
      <c r="AE20" s="1531"/>
      <c r="AF20" s="554">
        <v>1</v>
      </c>
      <c r="AG20" s="1532"/>
      <c r="AH20" s="1354" t="s">
        <v>56</v>
      </c>
      <c r="AI20" s="1531"/>
      <c r="AJ20" s="554">
        <v>1</v>
      </c>
      <c r="AK20" s="1532"/>
      <c r="AL20" s="1354" t="s">
        <v>56</v>
      </c>
      <c r="AM20" s="1533"/>
      <c r="AN20" s="554">
        <v>1</v>
      </c>
      <c r="AO20" s="1534"/>
      <c r="AP20" s="1354" t="s">
        <v>56</v>
      </c>
      <c r="AQ20" s="1533"/>
      <c r="AR20" s="554">
        <v>1</v>
      </c>
      <c r="AS20" s="1534"/>
      <c r="AT20" s="320"/>
      <c r="AU20" s="390"/>
      <c r="AV20" s="320"/>
      <c r="AW20" s="390"/>
      <c r="AX20" s="1776"/>
      <c r="AY20" s="1515" t="s">
        <v>61</v>
      </c>
      <c r="AZ20" s="1776"/>
      <c r="BA20" s="1515" t="s">
        <v>61</v>
      </c>
    </row>
    <row customHeight="1" ht="14.25" hidden="1">
      <c r="BD21" s="502"/>
      <c r="BE21" s="502"/>
      <c r="BF21" s="502"/>
      <c r="BG21" s="502"/>
      <c r="BH21" s="502"/>
    </row>
    <row customHeight="1" ht="14.25" hidden="1">
      <c r="O22" s="1397" t="s">
        <v>407</v>
      </c>
      <c r="Z22" s="1375"/>
      <c r="AB22" s="1375"/>
      <c r="AC22" s="323"/>
      <c r="AX22" s="1375"/>
      <c r="AZ22" s="1375"/>
      <c r="BA22" s="323"/>
      <c r="BD22" s="502"/>
      <c r="BE22" s="502"/>
      <c r="BF22" s="502"/>
      <c r="BG22" s="502"/>
      <c r="BH22" s="502"/>
    </row>
    <row customHeight="1" ht="14.25" hidden="1">
      <c r="AC23" s="323"/>
      <c r="BA23" s="323"/>
      <c r="BD23" s="502"/>
      <c r="BE23" s="502"/>
      <c r="BF23" s="502"/>
      <c r="BG23" s="502"/>
      <c r="BH23" s="502"/>
    </row>
    <row s="3922" customFormat="1" customHeight="1" ht="14.25" hidden="1">
      <c r="M24" s="1538"/>
      <c r="N24" s="1538"/>
      <c r="O24" s="1539" t="s">
        <v>408</v>
      </c>
      <c r="P24" s="1538"/>
      <c r="Q24" s="1540"/>
      <c r="R24" s="1540"/>
      <c r="AA24" s="1537" t="s">
        <v>410</v>
      </c>
      <c r="AC24" s="1537" t="s">
        <v>411</v>
      </c>
      <c r="AD24" s="1537" t="s">
        <v>463</v>
      </c>
      <c r="AH24" s="1537" t="s">
        <v>463</v>
      </c>
      <c r="AK24" s="1537" t="s">
        <v>499</v>
      </c>
      <c r="AL24" s="1537" t="s">
        <v>463</v>
      </c>
      <c r="AP24" s="1537" t="s">
        <v>463</v>
      </c>
      <c r="AY24" s="1537" t="s">
        <v>410</v>
      </c>
      <c r="BA24" s="1537" t="s">
        <v>411</v>
      </c>
      <c r="BD24" s="1541"/>
      <c r="BE24" s="1541"/>
      <c r="BF24" s="1541"/>
      <c r="BG24" s="1541"/>
      <c r="BH24" s="1541"/>
    </row>
    <row customHeight="1" ht="14.25" hidden="1">
      <c r="O25" s="1394"/>
      <c r="BD25" s="502"/>
      <c r="BE25" s="502"/>
      <c r="BF25" s="502"/>
      <c r="BG25" s="502"/>
      <c r="BH25" s="502"/>
    </row>
    <row customHeight="1" ht="14.25" hidden="1">
      <c r="O26" s="1394"/>
      <c r="BD26" s="502"/>
      <c r="BE26" s="502"/>
      <c r="BF26" s="502"/>
      <c r="BG26" s="502"/>
      <c r="BH26" s="502"/>
    </row>
    <row customHeight="1" ht="14.25">
      <c r="Q27" s="279"/>
      <c r="R27" s="377"/>
      <c r="S27" s="1305"/>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40"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140"/>
      <c r="U28" s="2140"/>
      <c r="V28" s="2140"/>
      <c r="W28" s="2140"/>
      <c r="X28" s="2140"/>
      <c r="Y28" s="2140"/>
      <c r="Z28" s="2140"/>
      <c r="AA28" s="2140"/>
      <c r="AB28" s="2140"/>
      <c r="AC28" s="2140"/>
      <c r="AD28" s="2140"/>
      <c r="AE28" s="2140"/>
      <c r="AF28" s="2140"/>
      <c r="AG28" s="2140"/>
      <c r="AH28" s="2140"/>
      <c r="AI28" s="2140"/>
      <c r="AJ28" s="2140"/>
      <c r="AK28" s="2140"/>
      <c r="AL28" s="2140"/>
      <c r="AM28" s="2140"/>
      <c r="AN28" s="2140"/>
      <c r="AO28" s="2140"/>
      <c r="AP28" s="2140"/>
      <c r="AQ28" s="2140"/>
      <c r="AR28" s="2140"/>
      <c r="AS28" s="2140"/>
      <c r="AT28" s="2140"/>
      <c r="AU28" s="2140"/>
      <c r="AV28" s="2140"/>
      <c r="AW28" s="2140"/>
      <c r="AX28" s="2140"/>
      <c r="AY28" s="2140"/>
      <c r="AZ28" s="2140"/>
      <c r="BA28" s="1261"/>
    </row>
    <row customHeight="1" ht="14.25">
      <c r="Q29" s="279"/>
      <c r="R29" s="377"/>
      <c r="S29" s="2141" t="str">
        <f>IF(org=0,"Не определено",org)</f>
        <v>МУП г. Азова "Теплоэнерго"</v>
      </c>
      <c r="T29" s="2141"/>
      <c r="U29" s="2141"/>
      <c r="V29" s="2141"/>
      <c r="W29" s="2141"/>
      <c r="X29" s="2141"/>
      <c r="Y29" s="2141"/>
      <c r="Z29" s="2141"/>
      <c r="AA29" s="2141"/>
      <c r="AB29" s="2141"/>
      <c r="AC29" s="2141"/>
      <c r="AD29" s="2141"/>
      <c r="AE29" s="2141"/>
      <c r="AF29" s="2141"/>
      <c r="AG29" s="2141"/>
      <c r="AH29" s="2141"/>
      <c r="AI29" s="2141"/>
      <c r="AJ29" s="2141"/>
      <c r="AK29" s="2141"/>
      <c r="AL29" s="2141"/>
      <c r="AM29" s="2141"/>
      <c r="AN29" s="2141"/>
      <c r="AO29" s="2141"/>
      <c r="AP29" s="2141"/>
      <c r="AQ29" s="2141"/>
      <c r="AR29" s="2141"/>
      <c r="AS29" s="2141"/>
      <c r="AT29" s="2141"/>
      <c r="AU29" s="2141"/>
      <c r="AV29" s="2141"/>
      <c r="AW29" s="2141"/>
      <c r="AX29" s="2141"/>
      <c r="AY29" s="2141"/>
      <c r="AZ29" s="2141"/>
      <c r="BA29" s="1261"/>
    </row>
    <row customHeight="1" ht="14.25">
      <c r="Q30" s="279"/>
      <c r="R30" s="377"/>
      <c r="S30" s="1305"/>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306" customFormat="1" customHeight="1" ht="25.5">
      <c r="A31" s="1398"/>
      <c r="B31" s="1398"/>
      <c r="C31" s="1398"/>
      <c r="D31" s="1398"/>
      <c r="E31" s="1398"/>
      <c r="F31" s="1398"/>
      <c r="G31" s="1398"/>
      <c r="H31" s="1398"/>
      <c r="I31" s="1398"/>
      <c r="J31" s="1398"/>
      <c r="K31" s="1398"/>
      <c r="L31" s="1399"/>
      <c r="M31" s="1398"/>
      <c r="N31" s="1398"/>
      <c r="O31" s="1398"/>
      <c r="P31" s="1398"/>
      <c r="Q31" s="1398"/>
      <c r="S31" s="2098" t="s">
        <v>38</v>
      </c>
      <c r="T31" s="2098"/>
      <c r="U31" s="1402"/>
      <c r="V31" s="2100" t="str">
        <f>IF(TITLE_NAME_OR_PR_CHANGE="",IF(TITLE_NAME_OR_PR="","",TITLE_NAME_OR_PR),TITLE_NAME_OR_PR_CHANGE)</f>
        <v>Региональная служба по тарифам Ростовской области</v>
      </c>
      <c r="W31" s="2100"/>
      <c r="X31" s="2100"/>
      <c r="Y31" s="2100"/>
      <c r="Z31" s="2100"/>
      <c r="AA31" s="2100"/>
      <c r="AB31" s="2100"/>
      <c r="AC31" s="322"/>
      <c r="AD31" s="2100" t="str">
        <f>IF(TITLE_NAME_OR_PR_CHANGE="",IF(TITLE_NAME_OR_PR="","",TITLE_NAME_OR_PR),TITLE_NAME_OR_PR_CHANGE)</f>
        <v>Региональная служба по тарифам Ростовской области</v>
      </c>
      <c r="AE31" s="2100"/>
      <c r="AF31" s="2100"/>
      <c r="AG31" s="2100"/>
      <c r="AH31" s="2100"/>
      <c r="AI31" s="2100"/>
      <c r="AJ31" s="2100"/>
      <c r="AK31" s="2100"/>
      <c r="AL31" s="2100"/>
      <c r="AM31" s="2100"/>
      <c r="AN31" s="2100"/>
      <c r="AO31" s="2100"/>
      <c r="AP31" s="2100"/>
      <c r="AQ31" s="2100"/>
      <c r="AR31" s="2100"/>
      <c r="AS31" s="2100"/>
      <c r="AT31" s="2100"/>
      <c r="AU31" s="2100"/>
      <c r="AV31" s="2100"/>
      <c r="AW31" s="2100"/>
      <c r="AX31" s="2100"/>
      <c r="AY31" s="2100"/>
      <c r="AZ31" s="2100"/>
      <c r="BA31" s="322"/>
      <c r="BB31" s="322"/>
      <c r="BC31" s="268"/>
      <c r="BD31" s="368"/>
      <c r="BE31" s="368"/>
      <c r="BF31" s="368"/>
      <c r="BG31" s="368"/>
      <c r="BH31" s="368"/>
    </row>
    <row s="3306" customFormat="1" customHeight="1" ht="18.75">
      <c r="A32" s="1398"/>
      <c r="B32" s="1398"/>
      <c r="C32" s="1398"/>
      <c r="D32" s="1398"/>
      <c r="E32" s="1398"/>
      <c r="F32" s="1398"/>
      <c r="G32" s="1398"/>
      <c r="H32" s="1398"/>
      <c r="I32" s="1398"/>
      <c r="J32" s="1398"/>
      <c r="K32" s="1398"/>
      <c r="L32" s="1399"/>
      <c r="M32" s="1398"/>
      <c r="N32" s="1398"/>
      <c r="O32" s="1398"/>
      <c r="P32" s="1398"/>
      <c r="Q32" s="1398"/>
      <c r="S32" s="2098" t="s">
        <v>413</v>
      </c>
      <c r="T32" s="2098"/>
      <c r="U32" s="1402"/>
      <c r="V32" s="2099" t="str">
        <f>IF(TITLE_DATE_PR_CHANGE="",IF(TITLE_DATE_PR="","",TITLE_DATE_PR),TITLE_DATE_PR_CHANGE)</f>
        <v>45245.61800925926</v>
      </c>
      <c r="W32" s="2099"/>
      <c r="X32" s="2099"/>
      <c r="Y32" s="2099"/>
      <c r="Z32" s="2099"/>
      <c r="AA32" s="2099"/>
      <c r="AB32" s="2099"/>
      <c r="AC32" s="322"/>
      <c r="AD32" s="2099" t="str">
        <f>IF(TITLE_DATE_PR_CHANGE="",IF(TITLE_DATE_PR="","",TITLE_DATE_PR),TITLE_DATE_PR_CHANGE)</f>
        <v>45245.61800925926</v>
      </c>
      <c r="AE32" s="2099"/>
      <c r="AF32" s="2099"/>
      <c r="AG32" s="2099"/>
      <c r="AH32" s="2099"/>
      <c r="AI32" s="2099"/>
      <c r="AJ32" s="2099"/>
      <c r="AK32" s="2099"/>
      <c r="AL32" s="2099"/>
      <c r="AM32" s="2099"/>
      <c r="AN32" s="2099"/>
      <c r="AO32" s="2099"/>
      <c r="AP32" s="2099"/>
      <c r="AQ32" s="2099"/>
      <c r="AR32" s="2099"/>
      <c r="AS32" s="2099"/>
      <c r="AT32" s="2099"/>
      <c r="AU32" s="2099"/>
      <c r="AV32" s="2099"/>
      <c r="AW32" s="2099"/>
      <c r="AX32" s="2099"/>
      <c r="AY32" s="2099"/>
      <c r="AZ32" s="2099"/>
      <c r="BA32" s="322"/>
      <c r="BB32" s="322"/>
      <c r="BC32" s="268"/>
      <c r="BD32" s="368"/>
      <c r="BE32" s="368"/>
      <c r="BF32" s="368"/>
      <c r="BG32" s="368"/>
      <c r="BH32" s="368"/>
    </row>
    <row s="3306" customFormat="1" customHeight="1" ht="18.75">
      <c r="A33" s="1398"/>
      <c r="B33" s="1398"/>
      <c r="C33" s="1398"/>
      <c r="D33" s="1398"/>
      <c r="E33" s="1398"/>
      <c r="F33" s="1398"/>
      <c r="G33" s="1398"/>
      <c r="H33" s="1398"/>
      <c r="I33" s="1398"/>
      <c r="J33" s="1398"/>
      <c r="K33" s="1398"/>
      <c r="L33" s="1399"/>
      <c r="M33" s="1398"/>
      <c r="N33" s="1398"/>
      <c r="O33" s="1398"/>
      <c r="P33" s="1398"/>
      <c r="Q33" s="1398"/>
      <c r="S33" s="2098" t="s">
        <v>414</v>
      </c>
      <c r="T33" s="2098"/>
      <c r="U33" s="1402"/>
      <c r="V33" s="2100" t="str">
        <f>IF(TITLE_NUMBER_PR_CHANGE="",IF(TITLE_NUMBER_PR="","",TITLE_NUMBER_PR),TITLE_NUMBER_PR_CHANGE)</f>
        <v>550</v>
      </c>
      <c r="W33" s="2100"/>
      <c r="X33" s="2100"/>
      <c r="Y33" s="2100"/>
      <c r="Z33" s="2100"/>
      <c r="AA33" s="2100"/>
      <c r="AB33" s="2100"/>
      <c r="AC33" s="322"/>
      <c r="AD33" s="2100" t="str">
        <f>IF(TITLE_NUMBER_PR_CHANGE="",IF(TITLE_NUMBER_PR="","",TITLE_NUMBER_PR),TITLE_NUMBER_PR_CHANGE)</f>
        <v>550</v>
      </c>
      <c r="AE33" s="2100"/>
      <c r="AF33" s="2100"/>
      <c r="AG33" s="2100"/>
      <c r="AH33" s="2100"/>
      <c r="AI33" s="2100"/>
      <c r="AJ33" s="2100"/>
      <c r="AK33" s="2100"/>
      <c r="AL33" s="2100"/>
      <c r="AM33" s="2100"/>
      <c r="AN33" s="2100"/>
      <c r="AO33" s="2100"/>
      <c r="AP33" s="2100"/>
      <c r="AQ33" s="2100"/>
      <c r="AR33" s="2100"/>
      <c r="AS33" s="2100"/>
      <c r="AT33" s="2100"/>
      <c r="AU33" s="2100"/>
      <c r="AV33" s="2100"/>
      <c r="AW33" s="2100"/>
      <c r="AX33" s="2100"/>
      <c r="AY33" s="2100"/>
      <c r="AZ33" s="2100"/>
      <c r="BA33" s="322"/>
      <c r="BB33" s="322"/>
      <c r="BC33" s="268"/>
      <c r="BD33" s="368"/>
      <c r="BE33" s="368"/>
      <c r="BF33" s="368"/>
      <c r="BG33" s="368"/>
      <c r="BH33" s="368"/>
    </row>
    <row s="3306" customFormat="1" customHeight="1" ht="18.75">
      <c r="A34" s="1398"/>
      <c r="B34" s="1398"/>
      <c r="C34" s="1398"/>
      <c r="D34" s="1398"/>
      <c r="E34" s="1398"/>
      <c r="F34" s="1398"/>
      <c r="G34" s="1398"/>
      <c r="H34" s="1398"/>
      <c r="I34" s="1398"/>
      <c r="J34" s="1398"/>
      <c r="K34" s="1398"/>
      <c r="L34" s="1399"/>
      <c r="M34" s="1398"/>
      <c r="N34" s="1398"/>
      <c r="O34" s="1398"/>
      <c r="P34" s="1398"/>
      <c r="Q34" s="1398"/>
      <c r="S34" s="2098" t="s">
        <v>40</v>
      </c>
      <c r="T34" s="2098"/>
      <c r="U34" s="1402"/>
      <c r="V34" s="2100" t="str">
        <f>IF(TITLE_IST_PUB_CHANGE="",IF(TITLE_IST_PUB="","",TITLE_IST_PUB),TITLE_IST_PUB_CHANGE)</f>
        <v>https://rst.donland.ru</v>
      </c>
      <c r="W34" s="2100"/>
      <c r="X34" s="2100"/>
      <c r="Y34" s="2100"/>
      <c r="Z34" s="2100"/>
      <c r="AA34" s="2100"/>
      <c r="AB34" s="2100"/>
      <c r="AC34" s="322"/>
      <c r="AD34" s="2100" t="str">
        <f>IF(TITLE_IST_PUB_CHANGE="",IF(TITLE_IST_PUB="","",TITLE_IST_PUB),TITLE_IST_PUB_CHANGE)</f>
        <v>https://rst.donland.ru</v>
      </c>
      <c r="AE34" s="2100"/>
      <c r="AF34" s="2100"/>
      <c r="AG34" s="2100"/>
      <c r="AH34" s="2100"/>
      <c r="AI34" s="2100"/>
      <c r="AJ34" s="2100"/>
      <c r="AK34" s="2100"/>
      <c r="AL34" s="2100"/>
      <c r="AM34" s="2100"/>
      <c r="AN34" s="2100"/>
      <c r="AO34" s="2100"/>
      <c r="AP34" s="2100"/>
      <c r="AQ34" s="2100"/>
      <c r="AR34" s="2100"/>
      <c r="AS34" s="2100"/>
      <c r="AT34" s="2100"/>
      <c r="AU34" s="2100"/>
      <c r="AV34" s="2100"/>
      <c r="AW34" s="2100"/>
      <c r="AX34" s="2100"/>
      <c r="AY34" s="2100"/>
      <c r="AZ34" s="2100"/>
      <c r="BA34" s="322"/>
      <c r="BB34" s="322"/>
      <c r="BC34" s="268"/>
      <c r="BD34" s="368"/>
      <c r="BE34" s="368"/>
      <c r="BF34" s="368"/>
      <c r="BG34" s="368"/>
      <c r="BH34" s="368"/>
    </row>
    <row customHeight="1" ht="14.25" hidden="1">
      <c r="Q35" s="279"/>
      <c r="R35" s="377"/>
      <c r="S35" s="1305"/>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306" customFormat="1" customHeight="1" ht="18.75" hidden="1">
      <c r="A36" s="1398"/>
      <c r="B36" s="1398"/>
      <c r="C36" s="1398"/>
      <c r="D36" s="1398"/>
      <c r="E36" s="1398"/>
      <c r="F36" s="1398"/>
      <c r="G36" s="1398"/>
      <c r="H36" s="1398"/>
      <c r="I36" s="1398"/>
      <c r="J36" s="1398"/>
      <c r="K36" s="1398"/>
      <c r="L36" s="1399"/>
      <c r="M36" s="1398"/>
      <c r="N36" s="1398"/>
      <c r="O36" s="1398"/>
      <c r="P36" s="1398"/>
      <c r="Q36" s="1398"/>
      <c r="S36" s="2098" t="s">
        <v>413</v>
      </c>
      <c r="T36" s="2098"/>
      <c r="U36" s="1402"/>
      <c r="V36" s="2099" t="str">
        <f>IF(TITLE_DATE_PR_CHANGE="",IF(TITLE_DATE_PR="","",TITLE_DATE_PR),TITLE_DATE_PR_CHANGE)</f>
        <v>45245.61800925926</v>
      </c>
      <c r="W36" s="2099"/>
      <c r="X36" s="2099"/>
      <c r="Y36" s="2099"/>
      <c r="Z36" s="2099"/>
      <c r="AA36" s="2099"/>
      <c r="AB36" s="2099"/>
      <c r="AC36" s="322"/>
      <c r="AD36" s="2099" t="str">
        <f>IF(TITLE_DATE_PR_CHANGE="",IF(TITLE_DATE_PR="","",TITLE_DATE_PR),TITLE_DATE_PR_CHANGE)</f>
        <v>45245.61800925926</v>
      </c>
      <c r="AE36" s="2099"/>
      <c r="AF36" s="2099"/>
      <c r="AG36" s="2099"/>
      <c r="AH36" s="2099"/>
      <c r="AI36" s="2099"/>
      <c r="AJ36" s="2099"/>
      <c r="AK36" s="2099"/>
      <c r="AL36" s="2099"/>
      <c r="AM36" s="2099"/>
      <c r="AN36" s="2099"/>
      <c r="AO36" s="2099"/>
      <c r="AP36" s="2099"/>
      <c r="AQ36" s="2099"/>
      <c r="AR36" s="2099"/>
      <c r="AS36" s="2099"/>
      <c r="AT36" s="2099"/>
      <c r="AU36" s="2099"/>
      <c r="AV36" s="2099"/>
      <c r="AW36" s="2099"/>
      <c r="AX36" s="2099"/>
      <c r="AY36" s="2099"/>
      <c r="AZ36" s="2099"/>
      <c r="BA36" s="322"/>
      <c r="BB36" s="322"/>
      <c r="BC36" s="268"/>
      <c r="BD36" s="368"/>
      <c r="BE36" s="368"/>
      <c r="BF36" s="368"/>
      <c r="BG36" s="368"/>
      <c r="BH36" s="368"/>
    </row>
    <row s="3306" customFormat="1" customHeight="1" ht="18.75" hidden="1">
      <c r="A37" s="1398"/>
      <c r="B37" s="1398"/>
      <c r="C37" s="1398"/>
      <c r="D37" s="1398"/>
      <c r="E37" s="1398"/>
      <c r="F37" s="1398"/>
      <c r="G37" s="1398"/>
      <c r="H37" s="1398"/>
      <c r="I37" s="1398"/>
      <c r="J37" s="1398"/>
      <c r="K37" s="1398"/>
      <c r="L37" s="1399"/>
      <c r="M37" s="1398"/>
      <c r="N37" s="1398"/>
      <c r="O37" s="1398"/>
      <c r="P37" s="1398"/>
      <c r="Q37" s="1398"/>
      <c r="S37" s="2098" t="s">
        <v>414</v>
      </c>
      <c r="T37" s="2098"/>
      <c r="U37" s="1402"/>
      <c r="V37" s="2100" t="str">
        <f>IF(TITLE_NUMBER_PR_CHANGE="",IF(TITLE_NUMBER_PR="","",TITLE_NUMBER_PR),TITLE_NUMBER_PR_CHANGE)</f>
        <v>550</v>
      </c>
      <c r="W37" s="2100"/>
      <c r="X37" s="2100"/>
      <c r="Y37" s="2100"/>
      <c r="Z37" s="2100"/>
      <c r="AA37" s="2100"/>
      <c r="AB37" s="2100"/>
      <c r="AC37" s="322"/>
      <c r="AD37" s="2100" t="str">
        <f>IF(TITLE_NUMBER_PR_CHANGE="",IF(TITLE_NUMBER_PR="","",TITLE_NUMBER_PR),TITLE_NUMBER_PR_CHANGE)</f>
        <v>550</v>
      </c>
      <c r="AE37" s="2100"/>
      <c r="AF37" s="2100"/>
      <c r="AG37" s="2100"/>
      <c r="AH37" s="2100"/>
      <c r="AI37" s="2100"/>
      <c r="AJ37" s="2100"/>
      <c r="AK37" s="2100"/>
      <c r="AL37" s="2100"/>
      <c r="AM37" s="2100"/>
      <c r="AN37" s="2100"/>
      <c r="AO37" s="2100"/>
      <c r="AP37" s="2100"/>
      <c r="AQ37" s="2100"/>
      <c r="AR37" s="2100"/>
      <c r="AS37" s="2100"/>
      <c r="AT37" s="2100"/>
      <c r="AU37" s="2100"/>
      <c r="AV37" s="2100"/>
      <c r="AW37" s="2100"/>
      <c r="AX37" s="2100"/>
      <c r="AY37" s="2100"/>
      <c r="AZ37" s="2100"/>
      <c r="BA37" s="322"/>
      <c r="BB37" s="322"/>
      <c r="BC37" s="268"/>
      <c r="BD37" s="368"/>
      <c r="BE37" s="368"/>
      <c r="BF37" s="368"/>
      <c r="BG37" s="368"/>
      <c r="BH37" s="368"/>
    </row>
    <row s="3306" customFormat="1" customHeight="1" ht="0">
      <c r="A38" s="1398"/>
      <c r="B38" s="1398"/>
      <c r="C38" s="1398"/>
      <c r="D38" s="1398"/>
      <c r="E38" s="1398"/>
      <c r="F38" s="1398"/>
      <c r="G38" s="1398"/>
      <c r="H38" s="1398"/>
      <c r="I38" s="1398"/>
      <c r="J38" s="1398"/>
      <c r="K38" s="1398"/>
      <c r="L38" s="1399"/>
      <c r="M38" s="1398"/>
      <c r="N38" s="1398"/>
      <c r="O38" s="1398"/>
      <c r="P38" s="1398"/>
      <c r="Q38" s="1398"/>
      <c r="S38" s="318"/>
      <c r="T38" s="318"/>
      <c r="U38" s="1518"/>
      <c r="V38" s="322"/>
      <c r="W38" s="322"/>
      <c r="X38" s="322"/>
      <c r="Y38" s="322"/>
      <c r="Z38" s="322"/>
      <c r="AA38" s="322"/>
      <c r="AB38" s="322"/>
      <c r="AC38" s="266" t="s">
        <v>417</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417</v>
      </c>
      <c r="BD38" s="368"/>
      <c r="BE38" s="368"/>
      <c r="BF38" s="368"/>
      <c r="BG38" s="368"/>
      <c r="BH38" s="368"/>
    </row>
    <row customHeight="1" ht="14.25">
      <c r="Q39" s="279"/>
      <c r="R39" s="377"/>
      <c r="S39" s="1305"/>
      <c r="T39" s="361"/>
      <c r="U39" s="1262"/>
      <c r="V39" s="2124"/>
      <c r="W39" s="2124"/>
      <c r="X39" s="2124"/>
      <c r="Y39" s="2124"/>
      <c r="Z39" s="2124"/>
      <c r="AA39" s="2124"/>
      <c r="AB39" s="2124"/>
      <c r="AC39" s="2124"/>
      <c r="AD39" s="2124"/>
      <c r="AE39" s="2124"/>
      <c r="AF39" s="2124"/>
      <c r="AG39" s="2124"/>
      <c r="AH39" s="2124"/>
      <c r="AI39" s="2124"/>
      <c r="AJ39" s="2124"/>
      <c r="AK39" s="2124"/>
      <c r="AL39" s="2124"/>
      <c r="AM39" s="2124"/>
      <c r="AN39" s="2124"/>
      <c r="AO39" s="2124"/>
      <c r="AP39" s="2124"/>
      <c r="AQ39" s="2124"/>
      <c r="AR39" s="2124"/>
      <c r="AS39" s="2124"/>
      <c r="AT39" s="2124"/>
      <c r="AU39" s="2124"/>
      <c r="AV39" s="2124"/>
      <c r="AW39" s="2124"/>
      <c r="AX39" s="2124"/>
      <c r="AY39" s="2124"/>
      <c r="AZ39" s="2124"/>
      <c r="BA39" s="2124"/>
    </row>
    <row customHeight="1" ht="14.25">
      <c r="Q40" s="279"/>
      <c r="R40" s="377"/>
      <c r="S40" s="1971" t="s">
        <v>291</v>
      </c>
      <c r="T40" s="1971"/>
      <c r="U40" s="1971"/>
      <c r="V40" s="1971"/>
      <c r="W40" s="1971"/>
      <c r="X40" s="1971"/>
      <c r="Y40" s="1971"/>
      <c r="Z40" s="1971"/>
      <c r="AA40" s="1971"/>
      <c r="AB40" s="1971"/>
      <c r="AC40" s="1971"/>
      <c r="AD40" s="1971"/>
      <c r="AE40" s="1971"/>
      <c r="AF40" s="1971"/>
      <c r="AG40" s="1971"/>
      <c r="AH40" s="1971"/>
      <c r="AI40" s="1971"/>
      <c r="AJ40" s="1971"/>
      <c r="AK40" s="1971"/>
      <c r="AL40" s="1971"/>
      <c r="AM40" s="1971"/>
      <c r="AN40" s="1971"/>
      <c r="AO40" s="1971"/>
      <c r="AP40" s="1971"/>
      <c r="AQ40" s="1971"/>
      <c r="AR40" s="1971"/>
      <c r="AS40" s="1971"/>
      <c r="AT40" s="1971"/>
      <c r="AU40" s="1971"/>
      <c r="AV40" s="1971"/>
      <c r="AW40" s="1971"/>
      <c r="AX40" s="1971"/>
      <c r="AY40" s="1971"/>
      <c r="AZ40" s="1971"/>
      <c r="BA40" s="1971"/>
      <c r="BB40" s="1971"/>
      <c r="BC40" s="1971" t="s">
        <v>292</v>
      </c>
    </row>
    <row customHeight="1" ht="14.25">
      <c r="Q41" s="279"/>
      <c r="R41" s="377"/>
      <c r="S41" s="2125" t="s">
        <v>87</v>
      </c>
      <c r="T41" s="2062" t="s">
        <v>500</v>
      </c>
      <c r="U41" s="289"/>
      <c r="V41" s="2126" t="s">
        <v>419</v>
      </c>
      <c r="W41" s="2127"/>
      <c r="X41" s="2127"/>
      <c r="Y41" s="2127"/>
      <c r="Z41" s="2127"/>
      <c r="AA41" s="2127"/>
      <c r="AB41" s="2128"/>
      <c r="AC41" s="2129" t="s">
        <v>420</v>
      </c>
      <c r="AD41" s="2173" t="s">
        <v>501</v>
      </c>
      <c r="AE41" s="2146"/>
      <c r="AF41" s="2146"/>
      <c r="AG41" s="2174"/>
      <c r="AH41" s="2173" t="s">
        <v>502</v>
      </c>
      <c r="AI41" s="2146"/>
      <c r="AJ41" s="2146"/>
      <c r="AK41" s="2174"/>
      <c r="AL41" s="2173" t="s">
        <v>503</v>
      </c>
      <c r="AM41" s="2146"/>
      <c r="AN41" s="2146"/>
      <c r="AO41" s="2174"/>
      <c r="AP41" s="2173" t="s">
        <v>504</v>
      </c>
      <c r="AQ41" s="2146"/>
      <c r="AR41" s="2146"/>
      <c r="AS41" s="2174"/>
      <c r="AT41" s="2126" t="s">
        <v>419</v>
      </c>
      <c r="AU41" s="2127"/>
      <c r="AV41" s="2127"/>
      <c r="AW41" s="2127"/>
      <c r="AX41" s="2127"/>
      <c r="AY41" s="2127"/>
      <c r="AZ41" s="2128"/>
      <c r="BA41" s="2129" t="s">
        <v>420</v>
      </c>
      <c r="BB41" s="2132" t="s">
        <v>422</v>
      </c>
      <c r="BC41" s="1971"/>
    </row>
    <row customHeight="1" ht="33.75">
      <c r="Q42" s="279"/>
      <c r="R42" s="377"/>
      <c r="S42" s="2125"/>
      <c r="T42" s="2062"/>
      <c r="U42" s="1038"/>
      <c r="V42" s="2029" t="s">
        <v>505</v>
      </c>
      <c r="W42" s="2030"/>
      <c r="X42" s="2029" t="s">
        <v>506</v>
      </c>
      <c r="Y42" s="2030"/>
      <c r="Z42" s="2144" t="s">
        <v>507</v>
      </c>
      <c r="AA42" s="2162"/>
      <c r="AB42" s="2163"/>
      <c r="AC42" s="2130"/>
      <c r="AD42" s="2175"/>
      <c r="AE42" s="2176"/>
      <c r="AF42" s="2176"/>
      <c r="AG42" s="2188"/>
      <c r="AH42" s="2175"/>
      <c r="AI42" s="2176"/>
      <c r="AJ42" s="2176"/>
      <c r="AK42" s="2188"/>
      <c r="AL42" s="2175"/>
      <c r="AM42" s="2176"/>
      <c r="AN42" s="2176"/>
      <c r="AO42" s="2188"/>
      <c r="AP42" s="2175"/>
      <c r="AQ42" s="2176"/>
      <c r="AR42" s="2176"/>
      <c r="AS42" s="2188"/>
      <c r="AT42" s="2029" t="s">
        <v>505</v>
      </c>
      <c r="AU42" s="2030"/>
      <c r="AV42" s="2029" t="s">
        <v>506</v>
      </c>
      <c r="AW42" s="2030"/>
      <c r="AX42" s="2144" t="s">
        <v>507</v>
      </c>
      <c r="AY42" s="2162"/>
      <c r="AZ42" s="2163"/>
      <c r="BA42" s="2130"/>
      <c r="BB42" s="2133"/>
      <c r="BC42" s="1971"/>
    </row>
    <row customHeight="1" ht="14.25">
      <c r="Q43" s="279"/>
      <c r="R43" s="377"/>
      <c r="S43" s="2125"/>
      <c r="T43" s="2062"/>
      <c r="U43" s="1038"/>
      <c r="V43" s="2037"/>
      <c r="W43" s="2038"/>
      <c r="X43" s="2037"/>
      <c r="Y43" s="2038"/>
      <c r="Z43" s="2145"/>
      <c r="AA43" s="2164"/>
      <c r="AB43" s="2165"/>
      <c r="AC43" s="2130"/>
      <c r="AD43" s="2175"/>
      <c r="AE43" s="2176"/>
      <c r="AF43" s="2176"/>
      <c r="AG43" s="2188"/>
      <c r="AH43" s="2175"/>
      <c r="AI43" s="2176"/>
      <c r="AJ43" s="2176"/>
      <c r="AK43" s="2188"/>
      <c r="AL43" s="2175"/>
      <c r="AM43" s="2176"/>
      <c r="AN43" s="2176"/>
      <c r="AO43" s="2188"/>
      <c r="AP43" s="2175"/>
      <c r="AQ43" s="2176"/>
      <c r="AR43" s="2176"/>
      <c r="AS43" s="2188"/>
      <c r="AT43" s="2037"/>
      <c r="AU43" s="2038"/>
      <c r="AV43" s="2037"/>
      <c r="AW43" s="2038"/>
      <c r="AX43" s="2145"/>
      <c r="AY43" s="2164"/>
      <c r="AZ43" s="2165"/>
      <c r="BA43" s="2130"/>
      <c r="BB43" s="2133"/>
      <c r="BC43" s="1971"/>
    </row>
    <row customHeight="1" ht="14.25">
      <c r="A44" s="1400"/>
      <c r="B44" s="1400" t="s">
        <v>134</v>
      </c>
      <c r="C44" s="1400" t="s">
        <v>135</v>
      </c>
      <c r="D44" s="1400" t="s">
        <v>136</v>
      </c>
      <c r="E44" s="1394" t="s">
        <v>427</v>
      </c>
      <c r="F44" s="1394" t="s">
        <v>428</v>
      </c>
      <c r="G44" s="1394" t="s">
        <v>429</v>
      </c>
      <c r="H44" s="1394" t="s">
        <v>430</v>
      </c>
      <c r="I44" s="1394" t="s">
        <v>431</v>
      </c>
      <c r="J44" s="1394" t="s">
        <v>432</v>
      </c>
      <c r="K44" s="1394" t="s">
        <v>433</v>
      </c>
      <c r="L44" s="1394" t="s">
        <v>408</v>
      </c>
      <c r="Q44" s="279"/>
      <c r="R44" s="377"/>
      <c r="S44" s="2125"/>
      <c r="T44" s="2062"/>
      <c r="U44" s="290"/>
      <c r="V44" s="1509" t="s">
        <v>473</v>
      </c>
      <c r="W44" s="1509" t="s">
        <v>474</v>
      </c>
      <c r="X44" s="1509" t="s">
        <v>473</v>
      </c>
      <c r="Y44" s="1509" t="s">
        <v>474</v>
      </c>
      <c r="Z44" s="1519" t="s">
        <v>436</v>
      </c>
      <c r="AA44" s="2121" t="s">
        <v>437</v>
      </c>
      <c r="AB44" s="2122"/>
      <c r="AC44" s="2131"/>
      <c r="AD44" s="2177"/>
      <c r="AE44" s="2178"/>
      <c r="AF44" s="2178"/>
      <c r="AG44" s="2179"/>
      <c r="AH44" s="2177"/>
      <c r="AI44" s="2178"/>
      <c r="AJ44" s="2178"/>
      <c r="AK44" s="2179"/>
      <c r="AL44" s="2177"/>
      <c r="AM44" s="2178"/>
      <c r="AN44" s="2178"/>
      <c r="AO44" s="2179"/>
      <c r="AP44" s="2177"/>
      <c r="AQ44" s="2178"/>
      <c r="AR44" s="2178"/>
      <c r="AS44" s="2179"/>
      <c r="AT44" s="1509" t="s">
        <v>473</v>
      </c>
      <c r="AU44" s="1509" t="s">
        <v>474</v>
      </c>
      <c r="AV44" s="1509" t="s">
        <v>473</v>
      </c>
      <c r="AW44" s="1509" t="s">
        <v>474</v>
      </c>
      <c r="AX44" s="1519" t="s">
        <v>436</v>
      </c>
      <c r="AY44" s="2121" t="s">
        <v>437</v>
      </c>
      <c r="AZ44" s="2122"/>
      <c r="BA44" s="2131"/>
      <c r="BB44" s="2134"/>
      <c r="BC44" s="1971"/>
    </row>
    <row s="2611" customFormat="1" customHeight="1" ht="0">
      <c r="A45" s="1400"/>
      <c r="B45" s="1400"/>
      <c r="C45" s="1400"/>
      <c r="D45" s="1400"/>
      <c r="E45" s="1400"/>
      <c r="F45" s="1400"/>
      <c r="G45" s="1400"/>
      <c r="H45" s="1400"/>
      <c r="I45" s="1400"/>
      <c r="J45" s="1400"/>
      <c r="K45" s="1400"/>
      <c r="L45" s="1394"/>
      <c r="M45" s="1392"/>
      <c r="N45" s="1392"/>
      <c r="O45" s="1392"/>
      <c r="P45" s="516"/>
      <c r="Q45" s="1280"/>
      <c r="R45" s="1280">
        <v>1</v>
      </c>
      <c r="S45" s="1307" t="s">
        <v>108</v>
      </c>
      <c r="T45" s="1281" t="s">
        <v>109</v>
      </c>
      <c r="U45" s="1263" t="str">
        <f>OFFSET(U45,0,-1)</f>
        <v>2</v>
      </c>
      <c r="V45" s="1512">
        <f>OFFSET(V45,0,-1)+1</f>
        <v>3</v>
      </c>
      <c r="W45" s="1512">
        <f>OFFSET(W45,0,-1)+1</f>
        <v>4</v>
      </c>
      <c r="X45" s="1512">
        <f>OFFSET(X45,0,-1)+1</f>
        <v>5</v>
      </c>
      <c r="Y45" s="1512">
        <f>OFFSET(Y45,0,-1)+1</f>
        <v>6</v>
      </c>
      <c r="Z45" s="1512">
        <f>OFFSET(Z45,0,-1)+1</f>
        <v>7</v>
      </c>
      <c r="AA45" s="2123">
        <f>OFFSET(AA45,0,-1)+1</f>
        <v>8</v>
      </c>
      <c r="AB45" s="2123"/>
      <c r="AC45" s="1512">
        <f>OFFSET(AC45,0,-2)+1</f>
        <v>9</v>
      </c>
      <c r="AD45" s="1512">
        <f>OFFSET(AD45,0,-1)+1</f>
        <v>10</v>
      </c>
      <c r="AE45" s="1512"/>
      <c r="AF45" s="1512"/>
      <c r="AG45" s="1512"/>
      <c r="AH45" s="1512"/>
      <c r="AI45" s="1512"/>
      <c r="AJ45" s="1512"/>
      <c r="AK45" s="1512"/>
      <c r="AL45" s="1512"/>
      <c r="AM45" s="1512"/>
      <c r="AN45" s="1512"/>
      <c r="AO45" s="1512"/>
      <c r="AP45" s="1512"/>
      <c r="AQ45" s="1512"/>
      <c r="AR45" s="1512"/>
      <c r="AS45" s="1512"/>
      <c r="AT45" s="1512"/>
      <c r="AU45" s="1512"/>
      <c r="AV45" s="1512"/>
      <c r="AW45" s="1512">
        <f>OFFSET(AW45,0,-1)+1</f>
        <v>1</v>
      </c>
      <c r="AX45" s="1512">
        <f>OFFSET(AX45,0,-1)+1</f>
        <v>2</v>
      </c>
      <c r="AY45" s="2123">
        <f>OFFSET(AY45,0,-1)+1</f>
        <v>3</v>
      </c>
      <c r="AZ45" s="2123"/>
      <c r="BA45" s="1512">
        <f>OFFSET(BA45,0,-2)+1</f>
        <v>4</v>
      </c>
      <c r="BB45" s="1263">
        <f>OFFSET(BB45,0,-1)</f>
        <v>4</v>
      </c>
      <c r="BC45" s="1512">
        <f>OFFSET(BC45,0,-1)+1</f>
        <v>5</v>
      </c>
      <c r="BD45" s="517"/>
      <c r="BE45" s="517"/>
      <c r="BF45" s="517"/>
      <c r="BG45" s="517"/>
      <c r="BH45" s="517"/>
    </row>
    <row customHeight="1" ht="21">
      <c r="A46" s="1393" t="s">
        <v>252</v>
      </c>
      <c r="B46" s="1393"/>
      <c r="C46" s="1393"/>
      <c r="D46" s="1393"/>
      <c r="E46" s="2107">
        <v>1</v>
      </c>
      <c r="F46" s="1393"/>
      <c r="G46" s="1393"/>
      <c r="H46" s="1393"/>
      <c r="I46" s="1393"/>
      <c r="J46" s="1393"/>
      <c r="K46" s="1393"/>
      <c r="L46" s="1394"/>
      <c r="M46" s="1395"/>
      <c r="N46" s="1395"/>
      <c r="O46" s="1395"/>
      <c r="P46" s="1439"/>
      <c r="Q46" s="879"/>
      <c r="R46" s="351"/>
      <c r="S46" s="1523">
        <f>INDEX(PT_DIFFERENTIATION_NUM_NTAR,MATCH(A46,PT_DIFFERENTIATION_NTAR_ID,0))</f>
        <v>0</v>
      </c>
      <c r="T46" s="286" t="s">
        <v>122</v>
      </c>
      <c r="U46" s="288"/>
      <c r="V46" s="2102"/>
      <c r="W46" s="2102"/>
      <c r="X46" s="2102"/>
      <c r="Y46" s="2102"/>
      <c r="Z46" s="2102"/>
      <c r="AA46" s="2102"/>
      <c r="AB46" s="2102"/>
      <c r="AC46" s="2103"/>
      <c r="AD46" s="2101" t="str">
        <f>INDEX(PT_DIFFERENTIATION_NTAR,MATCH(A46,PT_DIFFERENTIATION_NTAR_ID,0))</f>
        <v/>
      </c>
      <c r="AE46" s="2102"/>
      <c r="AF46" s="2102"/>
      <c r="AG46" s="2102"/>
      <c r="AH46" s="2102"/>
      <c r="AI46" s="2102"/>
      <c r="AJ46" s="2102"/>
      <c r="AK46" s="2102"/>
      <c r="AL46" s="2102"/>
      <c r="AM46" s="2102"/>
      <c r="AN46" s="2102"/>
      <c r="AO46" s="2102"/>
      <c r="AP46" s="2102"/>
      <c r="AQ46" s="2102"/>
      <c r="AR46" s="2102"/>
      <c r="AS46" s="2102"/>
      <c r="AT46" s="2102"/>
      <c r="AU46" s="2102"/>
      <c r="AV46" s="2102"/>
      <c r="AW46" s="2102"/>
      <c r="AX46" s="2102"/>
      <c r="AY46" s="2102"/>
      <c r="AZ46" s="2102"/>
      <c r="BA46" s="2102"/>
      <c r="BB46" s="2103"/>
      <c r="BC46"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3" t="s">
        <v>252</v>
      </c>
      <c r="B47" s="1393" t="s">
        <v>253</v>
      </c>
      <c r="C47" s="1393"/>
      <c r="D47" s="1393"/>
      <c r="E47" s="2108"/>
      <c r="F47" s="2107">
        <v>1</v>
      </c>
      <c r="G47" s="1393"/>
      <c r="H47" s="1393"/>
      <c r="I47" s="1393"/>
      <c r="J47" s="1393"/>
      <c r="K47" s="1393"/>
      <c r="L47" s="1394"/>
      <c r="M47" s="1395"/>
      <c r="N47" s="1395"/>
      <c r="O47" s="1395"/>
      <c r="P47" s="1440"/>
      <c r="Q47" s="1441"/>
      <c r="R47" s="349"/>
      <c r="S47" s="1523" t="str">
        <f>INDEX(PT_DIFFERENTIATION_NUM_TER,MATCH(B47,PT_DIFFERENTIATION_TER_ID,0))</f>
        <v>.</v>
      </c>
      <c r="T47" s="298" t="s">
        <v>390</v>
      </c>
      <c r="U47" s="288"/>
      <c r="V47" s="2102"/>
      <c r="W47" s="2102"/>
      <c r="X47" s="2102"/>
      <c r="Y47" s="2102"/>
      <c r="Z47" s="2102"/>
      <c r="AA47" s="2102"/>
      <c r="AB47" s="2102"/>
      <c r="AC47" s="2103"/>
      <c r="AD47" s="2101" t="str">
        <f>INDEX(PT_DIFFERENTIATION_TER,MATCH(B47,PT_DIFFERENTIATION_TER_ID,0))</f>
        <v/>
      </c>
      <c r="AE47" s="2102"/>
      <c r="AF47" s="2102"/>
      <c r="AG47" s="2102"/>
      <c r="AH47" s="2102"/>
      <c r="AI47" s="2102"/>
      <c r="AJ47" s="2102"/>
      <c r="AK47" s="2102"/>
      <c r="AL47" s="2102"/>
      <c r="AM47" s="2102"/>
      <c r="AN47" s="2102"/>
      <c r="AO47" s="2102"/>
      <c r="AP47" s="2102"/>
      <c r="AQ47" s="2102"/>
      <c r="AR47" s="2102"/>
      <c r="AS47" s="2102"/>
      <c r="AT47" s="2102"/>
      <c r="AU47" s="2102"/>
      <c r="AV47" s="2102"/>
      <c r="AW47" s="2102"/>
      <c r="AX47" s="2102"/>
      <c r="AY47" s="2102"/>
      <c r="AZ47" s="2102"/>
      <c r="BA47" s="2102"/>
      <c r="BB47" s="2103"/>
      <c r="BC47" s="1286" t="s">
        <v>391</v>
      </c>
      <c r="BE47" s="506"/>
      <c r="BF47" s="506" t="str">
        <f>IF(T47="","",T47)</f>
        <v>Территория действия тарифа</v>
      </c>
      <c r="BG47" s="506"/>
      <c r="BH47" s="506"/>
    </row>
    <row customHeight="1" ht="33.75">
      <c r="A48" s="1393" t="s">
        <v>252</v>
      </c>
      <c r="B48" s="1393" t="s">
        <v>253</v>
      </c>
      <c r="C48" s="1393" t="s">
        <v>254</v>
      </c>
      <c r="D48" s="1393"/>
      <c r="E48" s="2108"/>
      <c r="F48" s="2108"/>
      <c r="G48" s="2107">
        <v>1</v>
      </c>
      <c r="H48" s="1393"/>
      <c r="I48" s="1393"/>
      <c r="J48" s="1393"/>
      <c r="K48" s="1393"/>
      <c r="L48" s="1394"/>
      <c r="M48" s="1395"/>
      <c r="N48" s="1395"/>
      <c r="O48" s="1395"/>
      <c r="P48" s="1442"/>
      <c r="Q48" s="1441"/>
      <c r="R48" s="349"/>
      <c r="S48" s="1523" t="str">
        <f>INDEX(PT_DIFFERENTIATION_NUM_CS,MATCH(C48,PT_DIFFERENTIATION_CS_ID,0))</f>
        <v>..</v>
      </c>
      <c r="T48" s="299" t="s">
        <v>523</v>
      </c>
      <c r="U48" s="288"/>
      <c r="V48" s="2102"/>
      <c r="W48" s="2102"/>
      <c r="X48" s="2102"/>
      <c r="Y48" s="2102"/>
      <c r="Z48" s="2102"/>
      <c r="AA48" s="2102"/>
      <c r="AB48" s="2102"/>
      <c r="AC48" s="2103"/>
      <c r="AD48" s="2101" t="str">
        <f>INDEX(PT_DIFFERENTIATION_CS,MATCH(C48,PT_DIFFERENTIATION_CS_ID,0))</f>
        <v/>
      </c>
      <c r="AE48" s="2102"/>
      <c r="AF48" s="2102"/>
      <c r="AG48" s="2102"/>
      <c r="AH48" s="2102"/>
      <c r="AI48" s="2102"/>
      <c r="AJ48" s="2102"/>
      <c r="AK48" s="2102"/>
      <c r="AL48" s="2102"/>
      <c r="AM48" s="2102"/>
      <c r="AN48" s="2102"/>
      <c r="AO48" s="2102"/>
      <c r="AP48" s="2102"/>
      <c r="AQ48" s="2102"/>
      <c r="AR48" s="2102"/>
      <c r="AS48" s="2102"/>
      <c r="AT48" s="2102"/>
      <c r="AU48" s="2102"/>
      <c r="AV48" s="2102"/>
      <c r="AW48" s="2102"/>
      <c r="AX48" s="2102"/>
      <c r="AY48" s="2102"/>
      <c r="AZ48" s="2102"/>
      <c r="BA48" s="2102"/>
      <c r="BB48" s="2103"/>
      <c r="BC48" s="1286" t="s">
        <v>524</v>
      </c>
      <c r="BE48" s="506"/>
      <c r="BF48" s="506" t="str">
        <f>IF(T48="","",T48)</f>
        <v>Наименование централизованной системы горячего водоснабжения</v>
      </c>
      <c r="BG48" s="506"/>
      <c r="BH48" s="506"/>
    </row>
    <row s="2612" customFormat="1" customHeight="1" ht="0">
      <c r="A49" s="1373" t="s">
        <v>252</v>
      </c>
      <c r="B49" s="1373" t="s">
        <v>253</v>
      </c>
      <c r="C49" s="1373" t="s">
        <v>254</v>
      </c>
      <c r="D49" s="1373" t="s">
        <v>531</v>
      </c>
      <c r="E49" s="2108"/>
      <c r="F49" s="2108"/>
      <c r="G49" s="2108"/>
      <c r="H49" s="2107">
        <v>1</v>
      </c>
      <c r="I49" s="1373"/>
      <c r="J49" s="1373"/>
      <c r="K49" s="1373"/>
      <c r="L49" s="1376"/>
      <c r="M49" s="1345"/>
      <c r="N49" s="1345"/>
      <c r="O49" s="1345"/>
      <c r="P49" s="1527"/>
      <c r="Q49" s="1528"/>
      <c r="R49" s="353"/>
      <c r="S49" s="1049"/>
      <c r="T49" s="1529"/>
      <c r="U49" s="1414"/>
      <c r="V49" s="2148"/>
      <c r="W49" s="2148"/>
      <c r="X49" s="2148"/>
      <c r="Y49" s="2148"/>
      <c r="Z49" s="2148"/>
      <c r="AA49" s="2148"/>
      <c r="AB49" s="2148"/>
      <c r="AC49" s="2149"/>
      <c r="AD49" s="2147"/>
      <c r="AE49" s="2148"/>
      <c r="AF49" s="2148"/>
      <c r="AG49" s="2148"/>
      <c r="AH49" s="2148"/>
      <c r="AI49" s="2148"/>
      <c r="AJ49" s="2148"/>
      <c r="AK49" s="2148"/>
      <c r="AL49" s="2148"/>
      <c r="AM49" s="2148"/>
      <c r="AN49" s="2148"/>
      <c r="AO49" s="2148"/>
      <c r="AP49" s="2148"/>
      <c r="AQ49" s="2148"/>
      <c r="AR49" s="2148"/>
      <c r="AS49" s="2148"/>
      <c r="AT49" s="2148"/>
      <c r="AU49" s="2148"/>
      <c r="AV49" s="2148"/>
      <c r="AW49" s="2148"/>
      <c r="AX49" s="2148"/>
      <c r="AY49" s="2148"/>
      <c r="AZ49" s="2148"/>
      <c r="BA49" s="2148"/>
      <c r="BB49" s="2149"/>
      <c r="BC49" s="1415" t="s">
        <v>395</v>
      </c>
      <c r="BE49" s="506"/>
      <c r="BF49" s="506" t="str">
        <f>IF(T49="","",T49)</f>
        <v/>
      </c>
      <c r="BG49" s="506"/>
      <c r="BH49" s="506"/>
    </row>
    <row s="2612" customFormat="1" customHeight="1" ht="0">
      <c r="A50" s="1373" t="s">
        <v>252</v>
      </c>
      <c r="B50" s="1373" t="s">
        <v>253</v>
      </c>
      <c r="C50" s="1373" t="s">
        <v>254</v>
      </c>
      <c r="D50" s="1373" t="s">
        <v>531</v>
      </c>
      <c r="E50" s="2108"/>
      <c r="F50" s="2108"/>
      <c r="G50" s="2108"/>
      <c r="H50" s="2108"/>
      <c r="I50" s="2109" t="str">
        <f>S49&amp;".1"</f>
        <v>.1</v>
      </c>
      <c r="J50" s="1373"/>
      <c r="K50" s="1373"/>
      <c r="L50" s="1376" t="s">
        <v>396</v>
      </c>
      <c r="M50" s="516"/>
      <c r="N50" s="516"/>
      <c r="O50" s="516"/>
      <c r="P50" s="2111">
        <v>1</v>
      </c>
      <c r="Q50" s="1511"/>
      <c r="R50" s="352"/>
      <c r="S50" s="1049"/>
      <c r="T50" s="1413"/>
      <c r="U50" s="1414"/>
      <c r="V50" s="2148"/>
      <c r="W50" s="2148"/>
      <c r="X50" s="2148"/>
      <c r="Y50" s="2148"/>
      <c r="Z50" s="2148"/>
      <c r="AA50" s="2148"/>
      <c r="AB50" s="2148"/>
      <c r="AC50" s="2149"/>
      <c r="AD50" s="2147"/>
      <c r="AE50" s="2148"/>
      <c r="AF50" s="2148"/>
      <c r="AG50" s="2148"/>
      <c r="AH50" s="2148"/>
      <c r="AI50" s="2148"/>
      <c r="AJ50" s="2148"/>
      <c r="AK50" s="2148"/>
      <c r="AL50" s="2148"/>
      <c r="AM50" s="2148"/>
      <c r="AN50" s="2148"/>
      <c r="AO50" s="2148"/>
      <c r="AP50" s="2148"/>
      <c r="AQ50" s="2148"/>
      <c r="AR50" s="2148"/>
      <c r="AS50" s="2148"/>
      <c r="AT50" s="2148"/>
      <c r="AU50" s="2148"/>
      <c r="AV50" s="2148"/>
      <c r="AW50" s="2148"/>
      <c r="AX50" s="2148"/>
      <c r="AY50" s="2148"/>
      <c r="AZ50" s="2148"/>
      <c r="BA50" s="2148"/>
      <c r="BB50" s="2149"/>
      <c r="BC50" s="1415"/>
      <c r="BE50" s="506"/>
      <c r="BF50" s="506" t="str">
        <f>IF(T50="","",T50)</f>
        <v/>
      </c>
      <c r="BG50" s="506"/>
      <c r="BH50" s="506"/>
    </row>
    <row s="2612" customFormat="1" customHeight="1" ht="0">
      <c r="A51" s="1373" t="s">
        <v>252</v>
      </c>
      <c r="B51" s="1373" t="s">
        <v>253</v>
      </c>
      <c r="C51" s="1373" t="s">
        <v>254</v>
      </c>
      <c r="D51" s="1373" t="s">
        <v>531</v>
      </c>
      <c r="E51" s="2108"/>
      <c r="F51" s="2108"/>
      <c r="G51" s="2108"/>
      <c r="H51" s="2108"/>
      <c r="I51" s="2110"/>
      <c r="J51" s="2109" t="str">
        <f>S49&amp;".1"</f>
        <v>.1</v>
      </c>
      <c r="K51" s="1373"/>
      <c r="L51" s="1376"/>
      <c r="M51" s="516"/>
      <c r="N51" s="516"/>
      <c r="O51" s="516"/>
      <c r="P51" s="2111"/>
      <c r="Q51" s="2111">
        <v>1</v>
      </c>
      <c r="R51" s="353"/>
      <c r="S51" s="1049"/>
      <c r="T51" s="1429"/>
      <c r="U51" s="1414"/>
      <c r="V51" s="2148"/>
      <c r="W51" s="2148"/>
      <c r="X51" s="2148"/>
      <c r="Y51" s="2148"/>
      <c r="Z51" s="2148"/>
      <c r="AA51" s="2148"/>
      <c r="AB51" s="2148"/>
      <c r="AC51" s="2149"/>
      <c r="AD51" s="2147"/>
      <c r="AE51" s="2148"/>
      <c r="AF51" s="2148"/>
      <c r="AG51" s="2148"/>
      <c r="AH51" s="2148"/>
      <c r="AI51" s="2148"/>
      <c r="AJ51" s="2148"/>
      <c r="AK51" s="2148"/>
      <c r="AL51" s="2148"/>
      <c r="AM51" s="2148"/>
      <c r="AN51" s="2209"/>
      <c r="AO51" s="2209"/>
      <c r="AP51" s="2148"/>
      <c r="AQ51" s="2148"/>
      <c r="AR51" s="2148"/>
      <c r="AS51" s="2148"/>
      <c r="AT51" s="2148"/>
      <c r="AU51" s="2148"/>
      <c r="AV51" s="2148"/>
      <c r="AW51" s="2148"/>
      <c r="AX51" s="2148"/>
      <c r="AY51" s="2148"/>
      <c r="AZ51" s="2148"/>
      <c r="BA51" s="2148"/>
      <c r="BB51" s="2149"/>
      <c r="BC51" s="1415"/>
      <c r="BE51" s="506"/>
      <c r="BF51" s="506" t="str">
        <f>IF(T51="","",T51)</f>
        <v/>
      </c>
      <c r="BG51" s="506"/>
      <c r="BH51" s="506"/>
    </row>
    <row customHeight="1" ht="11.25">
      <c r="A52" s="1393" t="s">
        <v>252</v>
      </c>
      <c r="B52" s="1393" t="s">
        <v>253</v>
      </c>
      <c r="C52" s="1393" t="s">
        <v>254</v>
      </c>
      <c r="D52" s="1393" t="s">
        <v>531</v>
      </c>
      <c r="E52" s="2108"/>
      <c r="F52" s="2108"/>
      <c r="G52" s="2108"/>
      <c r="H52" s="2108"/>
      <c r="I52" s="2110"/>
      <c r="J52" s="2110"/>
      <c r="K52" s="2109" t="str">
        <f>S48&amp;".1"</f>
        <v>...1</v>
      </c>
      <c r="L52" s="1394"/>
      <c r="P52" s="2111"/>
      <c r="Q52" s="2111"/>
      <c r="R52" s="353">
        <v>1</v>
      </c>
      <c r="S52" s="2184" t="str">
        <f>$K52</f>
        <v>...1</v>
      </c>
      <c r="T52" s="2203"/>
      <c r="U52" s="288"/>
      <c r="V52" s="757"/>
      <c r="W52" s="1285"/>
      <c r="X52" s="757"/>
      <c r="Y52" s="1285"/>
      <c r="Z52" s="1774"/>
      <c r="AA52" s="1499" t="s">
        <v>61</v>
      </c>
      <c r="AB52" s="1774"/>
      <c r="AC52" s="1499" t="s">
        <v>61</v>
      </c>
      <c r="AD52" s="2044" t="s">
        <v>61</v>
      </c>
      <c r="AE52" s="2180"/>
      <c r="AF52" s="2057">
        <v>1</v>
      </c>
      <c r="AG52" s="2202"/>
      <c r="AH52" s="1981" t="s">
        <v>61</v>
      </c>
      <c r="AI52" s="2180"/>
      <c r="AJ52" s="2057">
        <v>1</v>
      </c>
      <c r="AK52" s="2201" t="s">
        <v>24</v>
      </c>
      <c r="AL52" s="1981" t="s">
        <v>61</v>
      </c>
      <c r="AM52" s="2029"/>
      <c r="AN52" s="2057">
        <v>1</v>
      </c>
      <c r="AO52" s="2206"/>
      <c r="AP52" s="2207" t="s">
        <v>61</v>
      </c>
      <c r="AQ52" s="301"/>
      <c r="AR52" s="1516">
        <v>1</v>
      </c>
      <c r="AS52" s="1522" t="s">
        <v>24</v>
      </c>
      <c r="AT52" s="757"/>
      <c r="AU52" s="1285"/>
      <c r="AV52" s="757"/>
      <c r="AW52" s="1285"/>
      <c r="AX52" s="1774"/>
      <c r="AY52" s="1499" t="s">
        <v>61</v>
      </c>
      <c r="AZ52" s="1774"/>
      <c r="BA52" s="1499" t="s">
        <v>61</v>
      </c>
      <c r="BB52" s="1378"/>
      <c r="BC52" s="2137" t="s">
        <v>494</v>
      </c>
      <c r="BE52" s="506"/>
      <c r="BF52" s="506" t="str">
        <f>IF(T52="","",T52)</f>
        <v/>
      </c>
      <c r="BG52" s="506"/>
      <c r="BH52" s="506"/>
    </row>
    <row customHeight="1" ht="11.25">
      <c r="A53" s="1393"/>
      <c r="B53" s="1393"/>
      <c r="C53" s="1393"/>
      <c r="D53" s="1393"/>
      <c r="E53" s="2108"/>
      <c r="F53" s="2108"/>
      <c r="G53" s="2108"/>
      <c r="H53" s="2108"/>
      <c r="I53" s="2110"/>
      <c r="J53" s="2110"/>
      <c r="K53" s="2109"/>
      <c r="L53" s="1394"/>
      <c r="P53" s="2111"/>
      <c r="Q53" s="2111"/>
      <c r="R53" s="353"/>
      <c r="S53" s="2185"/>
      <c r="T53" s="2204"/>
      <c r="U53" s="288"/>
      <c r="V53" s="1423"/>
      <c r="W53" s="1526"/>
      <c r="X53" s="1423"/>
      <c r="Y53" s="1526"/>
      <c r="Z53" s="1423"/>
      <c r="AA53" s="1423"/>
      <c r="AB53" s="1423"/>
      <c r="AC53" s="1423"/>
      <c r="AD53" s="2045"/>
      <c r="AE53" s="2180"/>
      <c r="AF53" s="2057"/>
      <c r="AG53" s="2202"/>
      <c r="AH53" s="1981"/>
      <c r="AI53" s="2180"/>
      <c r="AJ53" s="2057"/>
      <c r="AK53" s="2201"/>
      <c r="AL53" s="1981"/>
      <c r="AM53" s="2037"/>
      <c r="AN53" s="2057"/>
      <c r="AO53" s="2206"/>
      <c r="AP53" s="2208"/>
      <c r="AQ53" s="308"/>
      <c r="AR53" s="422"/>
      <c r="AS53" s="422" t="s">
        <v>495</v>
      </c>
      <c r="AT53" s="1423"/>
      <c r="AU53" s="1526"/>
      <c r="AV53" s="1423"/>
      <c r="AW53" s="1526"/>
      <c r="AX53" s="1423"/>
      <c r="AY53" s="1423"/>
      <c r="AZ53" s="1423"/>
      <c r="BA53" s="1423"/>
      <c r="BB53" s="1427"/>
      <c r="BC53" s="2138"/>
      <c r="BE53" s="506"/>
      <c r="BF53" s="506"/>
      <c r="BG53" s="506"/>
      <c r="BH53" s="506"/>
    </row>
    <row customHeight="1" ht="11.25">
      <c r="A54" s="1393" t="s">
        <v>252</v>
      </c>
      <c r="B54" s="1393"/>
      <c r="C54" s="1393"/>
      <c r="D54" s="1393"/>
      <c r="E54" s="2108"/>
      <c r="F54" s="2108"/>
      <c r="G54" s="2108"/>
      <c r="H54" s="2108"/>
      <c r="I54" s="2110"/>
      <c r="J54" s="2110"/>
      <c r="K54" s="2109"/>
      <c r="L54" s="1394"/>
      <c r="P54" s="2111"/>
      <c r="Q54" s="2111"/>
      <c r="R54" s="353"/>
      <c r="S54" s="2185"/>
      <c r="T54" s="2204"/>
      <c r="U54" s="288"/>
      <c r="V54" s="1423"/>
      <c r="W54" s="1526"/>
      <c r="X54" s="1423"/>
      <c r="Y54" s="1526"/>
      <c r="Z54" s="1423"/>
      <c r="AA54" s="1423"/>
      <c r="AB54" s="1423"/>
      <c r="AC54" s="1423"/>
      <c r="AD54" s="2045"/>
      <c r="AE54" s="2180"/>
      <c r="AF54" s="2057"/>
      <c r="AG54" s="2202"/>
      <c r="AH54" s="1981"/>
      <c r="AI54" s="2180"/>
      <c r="AJ54" s="2057"/>
      <c r="AK54" s="2201"/>
      <c r="AL54" s="1981"/>
      <c r="AM54" s="308"/>
      <c r="AN54" s="1530"/>
      <c r="AO54" s="1530" t="s">
        <v>496</v>
      </c>
      <c r="AP54" s="422"/>
      <c r="AQ54" s="422"/>
      <c r="AR54" s="422"/>
      <c r="AS54" s="1423"/>
      <c r="AT54" s="1423"/>
      <c r="AU54" s="1526"/>
      <c r="AV54" s="1423"/>
      <c r="AW54" s="1526"/>
      <c r="AX54" s="1423"/>
      <c r="AY54" s="1423"/>
      <c r="AZ54" s="1423"/>
      <c r="BA54" s="1423"/>
      <c r="BB54" s="1427"/>
      <c r="BC54" s="2138"/>
      <c r="BE54" s="506"/>
      <c r="BF54" s="506"/>
      <c r="BG54" s="506"/>
      <c r="BH54" s="506"/>
    </row>
    <row customHeight="1" ht="11.25">
      <c r="A55" s="1393" t="s">
        <v>252</v>
      </c>
      <c r="B55" s="1393"/>
      <c r="C55" s="1393"/>
      <c r="D55" s="1393"/>
      <c r="E55" s="2108"/>
      <c r="F55" s="2108"/>
      <c r="G55" s="2108"/>
      <c r="H55" s="2108"/>
      <c r="I55" s="2110"/>
      <c r="J55" s="2110"/>
      <c r="K55" s="2109"/>
      <c r="L55" s="1394"/>
      <c r="P55" s="2111"/>
      <c r="Q55" s="2111"/>
      <c r="R55" s="353"/>
      <c r="S55" s="2185"/>
      <c r="T55" s="2204"/>
      <c r="U55" s="288"/>
      <c r="V55" s="1423"/>
      <c r="W55" s="1526"/>
      <c r="X55" s="1423"/>
      <c r="Y55" s="1526"/>
      <c r="Z55" s="1423"/>
      <c r="AA55" s="1423"/>
      <c r="AB55" s="1423"/>
      <c r="AC55" s="1423"/>
      <c r="AD55" s="2045"/>
      <c r="AE55" s="2180"/>
      <c r="AF55" s="2057"/>
      <c r="AG55" s="2202"/>
      <c r="AH55" s="1981"/>
      <c r="AI55" s="282"/>
      <c r="AJ55" s="421"/>
      <c r="AK55" s="303" t="s">
        <v>497</v>
      </c>
      <c r="AL55" s="1423"/>
      <c r="AM55" s="1423"/>
      <c r="AN55" s="1423"/>
      <c r="AO55" s="1423"/>
      <c r="AP55" s="1423"/>
      <c r="AQ55" s="1423"/>
      <c r="AR55" s="1423"/>
      <c r="AS55" s="1423"/>
      <c r="AT55" s="1423"/>
      <c r="AU55" s="1526"/>
      <c r="AV55" s="1423"/>
      <c r="AW55" s="1526"/>
      <c r="AX55" s="1423"/>
      <c r="AY55" s="1423"/>
      <c r="AZ55" s="1423"/>
      <c r="BA55" s="1423"/>
      <c r="BB55" s="1427"/>
      <c r="BC55" s="2138"/>
      <c r="BE55" s="506"/>
      <c r="BF55" s="506"/>
      <c r="BG55" s="506"/>
      <c r="BH55" s="506"/>
    </row>
    <row customHeight="1" ht="11.25">
      <c r="A56" s="1393" t="s">
        <v>252</v>
      </c>
      <c r="B56" s="1393" t="s">
        <v>253</v>
      </c>
      <c r="C56" s="1393" t="s">
        <v>254</v>
      </c>
      <c r="D56" s="1393" t="s">
        <v>531</v>
      </c>
      <c r="E56" s="2108"/>
      <c r="F56" s="2108"/>
      <c r="G56" s="2108"/>
      <c r="H56" s="2108"/>
      <c r="I56" s="2110"/>
      <c r="J56" s="2110"/>
      <c r="K56" s="2109"/>
      <c r="L56" s="1394"/>
      <c r="P56" s="2111"/>
      <c r="Q56" s="2111"/>
      <c r="R56" s="353"/>
      <c r="S56" s="2186"/>
      <c r="T56" s="2205"/>
      <c r="U56" s="288"/>
      <c r="V56" s="1423"/>
      <c r="W56" s="1424" t="str">
        <f>Z52&amp;"-"&amp;AB52</f>
        <v>-</v>
      </c>
      <c r="X56" s="1423"/>
      <c r="Y56" s="1424" t="str">
        <f>AB52&amp;"-"&amp;AD52</f>
        <v>-да</v>
      </c>
      <c r="Z56" s="1423"/>
      <c r="AA56" s="1423"/>
      <c r="AB56" s="1423"/>
      <c r="AC56" s="1423"/>
      <c r="AD56" s="1986"/>
      <c r="AE56" s="302"/>
      <c r="AF56" s="304"/>
      <c r="AG56" s="422" t="s">
        <v>498</v>
      </c>
      <c r="AH56" s="1423"/>
      <c r="AI56" s="1423"/>
      <c r="AJ56" s="1423"/>
      <c r="AK56" s="1423"/>
      <c r="AL56" s="1423"/>
      <c r="AM56" s="1423"/>
      <c r="AN56" s="1423"/>
      <c r="AO56" s="1423"/>
      <c r="AP56" s="1423"/>
      <c r="AQ56" s="1423"/>
      <c r="AR56" s="1423"/>
      <c r="AS56" s="1423"/>
      <c r="AT56" s="1423"/>
      <c r="AU56" s="1424" t="str">
        <f>AX52&amp;"-"&amp;AZ52</f>
        <v>-</v>
      </c>
      <c r="AV56" s="1423"/>
      <c r="AW56" s="1424" t="str">
        <f>AZ52&amp;"-"&amp;BB52</f>
        <v>-</v>
      </c>
      <c r="AX56" s="1423"/>
      <c r="AY56" s="1423"/>
      <c r="AZ56" s="1423"/>
      <c r="BA56" s="1423"/>
      <c r="BB56" s="1426" t="str">
        <f>BE52&amp;"-"&amp;BG52</f>
        <v>-</v>
      </c>
      <c r="BC56" s="2138"/>
      <c r="BE56" s="506"/>
      <c r="BF56" s="506" t="str">
        <f>IF(T56="","",T56)</f>
        <v/>
      </c>
      <c r="BG56" s="506"/>
      <c r="BH56" s="506"/>
    </row>
    <row customHeight="1" ht="11.25">
      <c r="A57" s="1393" t="s">
        <v>252</v>
      </c>
      <c r="B57" s="1393" t="s">
        <v>253</v>
      </c>
      <c r="C57" s="1393" t="s">
        <v>254</v>
      </c>
      <c r="D57" s="1393" t="s">
        <v>531</v>
      </c>
      <c r="E57" s="2108"/>
      <c r="F57" s="2108"/>
      <c r="G57" s="2108"/>
      <c r="H57" s="2108"/>
      <c r="I57" s="2110"/>
      <c r="J57" s="2109"/>
      <c r="K57" s="1393"/>
      <c r="L57" s="1394"/>
      <c r="P57" s="2111"/>
      <c r="Q57" s="2111"/>
      <c r="R57" s="352"/>
      <c r="S57" s="1308"/>
      <c r="T57" s="275" t="s">
        <v>462</v>
      </c>
      <c r="U57" s="367"/>
      <c r="V57" s="367"/>
      <c r="W57" s="367"/>
      <c r="X57" s="367"/>
      <c r="Y57" s="367"/>
      <c r="Z57" s="367"/>
      <c r="AA57" s="367"/>
      <c r="AB57" s="367"/>
      <c r="AC57" s="319"/>
      <c r="AD57" s="153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19"/>
      <c r="BC57" s="2139"/>
      <c r="BE57" s="506"/>
      <c r="BF57" s="506" t="str">
        <f>IF(T57="","",T57)</f>
        <v>Добавить строку</v>
      </c>
      <c r="BG57" s="506"/>
      <c r="BH57" s="506"/>
    </row>
    <row s="2612" customFormat="1" customHeight="1" ht="0">
      <c r="A58" s="1373" t="s">
        <v>252</v>
      </c>
      <c r="B58" s="1373" t="s">
        <v>253</v>
      </c>
      <c r="C58" s="1373" t="s">
        <v>254</v>
      </c>
      <c r="D58" s="1373" t="s">
        <v>531</v>
      </c>
      <c r="E58" s="2108"/>
      <c r="F58" s="2108"/>
      <c r="G58" s="2108"/>
      <c r="H58" s="2108"/>
      <c r="I58" s="2109"/>
      <c r="J58" s="1373"/>
      <c r="K58" s="1373"/>
      <c r="L58" s="1376"/>
      <c r="M58" s="516"/>
      <c r="N58" s="516"/>
      <c r="O58" s="516"/>
      <c r="P58" s="2111"/>
      <c r="Q58" s="1511"/>
      <c r="R58" s="352"/>
      <c r="S58" s="1416"/>
      <c r="T58" s="1417"/>
      <c r="U58" s="1418"/>
      <c r="V58" s="1418"/>
      <c r="W58" s="1418"/>
      <c r="X58" s="1418"/>
      <c r="Y58" s="1418"/>
      <c r="Z58" s="1418"/>
      <c r="AA58" s="1418"/>
      <c r="AB58" s="1418"/>
      <c r="AC58" s="1418"/>
      <c r="AD58" s="1418"/>
      <c r="AE58" s="1418"/>
      <c r="AF58" s="1418"/>
      <c r="AG58" s="1418"/>
      <c r="AH58" s="1418"/>
      <c r="AI58" s="1418"/>
      <c r="AJ58" s="1418"/>
      <c r="AK58" s="1418"/>
      <c r="AL58" s="1418"/>
      <c r="AM58" s="1418"/>
      <c r="AN58" s="1418"/>
      <c r="AO58" s="1418"/>
      <c r="AP58" s="1418"/>
      <c r="AQ58" s="1418"/>
      <c r="AR58" s="1418"/>
      <c r="AS58" s="1418"/>
      <c r="AT58" s="1418"/>
      <c r="AU58" s="1418"/>
      <c r="AV58" s="1418"/>
      <c r="AW58" s="1418"/>
      <c r="AX58" s="1418"/>
      <c r="AY58" s="1418"/>
      <c r="AZ58" s="1418"/>
      <c r="BA58" s="1418"/>
      <c r="BB58" s="1418"/>
      <c r="BC58" s="1419"/>
      <c r="BE58" s="506"/>
      <c r="BF58" s="506" t="str">
        <f>IF(T58="","",T58)</f>
        <v/>
      </c>
      <c r="BG58" s="506"/>
      <c r="BH58" s="506"/>
    </row>
    <row s="2612" customFormat="1" customHeight="1" ht="0">
      <c r="A59" s="1373" t="s">
        <v>252</v>
      </c>
      <c r="B59" s="1373" t="s">
        <v>253</v>
      </c>
      <c r="C59" s="1373" t="s">
        <v>254</v>
      </c>
      <c r="D59" s="1373" t="s">
        <v>531</v>
      </c>
      <c r="E59" s="2108"/>
      <c r="F59" s="2108"/>
      <c r="G59" s="2108"/>
      <c r="H59" s="2107"/>
      <c r="I59" s="1373"/>
      <c r="J59" s="1373"/>
      <c r="K59" s="1373"/>
      <c r="L59" s="1376"/>
      <c r="M59" s="1345"/>
      <c r="N59" s="1345"/>
      <c r="O59" s="524"/>
      <c r="P59" s="385"/>
      <c r="Q59" s="1374"/>
      <c r="R59" s="1431"/>
      <c r="S59" s="1416"/>
      <c r="T59" s="1417"/>
      <c r="U59" s="1418"/>
      <c r="V59" s="1418"/>
      <c r="W59" s="1418"/>
      <c r="X59" s="1418"/>
      <c r="Y59" s="1418"/>
      <c r="Z59" s="1418"/>
      <c r="AA59" s="1418"/>
      <c r="AB59" s="1418"/>
      <c r="AC59" s="1418"/>
      <c r="AD59" s="1418"/>
      <c r="AE59" s="1418"/>
      <c r="AF59" s="1418"/>
      <c r="AG59" s="1418"/>
      <c r="AH59" s="1418"/>
      <c r="AI59" s="1418"/>
      <c r="AJ59" s="1418"/>
      <c r="AK59" s="1418"/>
      <c r="AL59" s="1418"/>
      <c r="AM59" s="1418"/>
      <c r="AN59" s="1418"/>
      <c r="AO59" s="1418"/>
      <c r="AP59" s="1418"/>
      <c r="AQ59" s="1418"/>
      <c r="AR59" s="1418"/>
      <c r="AS59" s="1418"/>
      <c r="AT59" s="1418"/>
      <c r="AU59" s="1418"/>
      <c r="AV59" s="1418"/>
      <c r="AW59" s="1418"/>
      <c r="AX59" s="1418"/>
      <c r="AY59" s="1418"/>
      <c r="AZ59" s="1418"/>
      <c r="BA59" s="1418"/>
      <c r="BB59" s="1418"/>
      <c r="BC59" s="1419"/>
      <c r="BE59" s="506"/>
      <c r="BF59" s="506" t="str">
        <f>IF(T59="","",T59)</f>
        <v/>
      </c>
      <c r="BG59" s="506"/>
      <c r="BH59" s="506"/>
    </row>
    <row s="3274" customFormat="1" customHeight="1" ht="0">
      <c r="A60" s="1373" t="s">
        <v>252</v>
      </c>
      <c r="B60" s="1373" t="s">
        <v>253</v>
      </c>
      <c r="C60" s="1373" t="s">
        <v>254</v>
      </c>
      <c r="D60" s="1344"/>
      <c r="E60" s="2108"/>
      <c r="F60" s="2108"/>
      <c r="G60" s="2107"/>
      <c r="H60" s="1344"/>
      <c r="I60" s="1344"/>
      <c r="J60" s="1344"/>
      <c r="K60" s="1344"/>
      <c r="L60" s="1524"/>
      <c r="M60" s="1345"/>
      <c r="N60" s="1345"/>
      <c r="P60" s="1346"/>
      <c r="Q60" s="1347"/>
      <c r="R60" s="1346"/>
      <c r="S60" s="1352"/>
      <c r="T60" s="1355"/>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V60" s="1354"/>
      <c r="AW60" s="1354"/>
      <c r="AX60" s="1354"/>
      <c r="AY60" s="1354"/>
      <c r="AZ60" s="1354"/>
      <c r="BA60" s="1354"/>
      <c r="BB60" s="1354"/>
      <c r="BC60" s="1354"/>
      <c r="BE60" s="795"/>
      <c r="BF60" s="795" t="str">
        <f>IF(T60="","",T60)</f>
        <v/>
      </c>
      <c r="BG60" s="795"/>
      <c r="BH60" s="795"/>
    </row>
    <row s="3274" customFormat="1" customHeight="1" ht="0">
      <c r="A61" s="1373" t="s">
        <v>252</v>
      </c>
      <c r="B61" s="1373" t="s">
        <v>253</v>
      </c>
      <c r="C61" s="1344"/>
      <c r="D61" s="1344"/>
      <c r="E61" s="2108"/>
      <c r="F61" s="2107"/>
      <c r="G61" s="1344"/>
      <c r="H61" s="1344"/>
      <c r="I61" s="1344"/>
      <c r="J61" s="1344"/>
      <c r="K61" s="1344"/>
      <c r="L61" s="1524"/>
      <c r="M61" s="1351"/>
      <c r="N61" s="1351"/>
      <c r="P61" s="1346"/>
      <c r="Q61" s="1347"/>
      <c r="R61" s="1346"/>
      <c r="S61" s="1352"/>
      <c r="T61" s="1355" t="s">
        <v>168</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V61" s="1354"/>
      <c r="AW61" s="1354"/>
      <c r="AX61" s="1354"/>
      <c r="AY61" s="1354"/>
      <c r="AZ61" s="1354"/>
      <c r="BA61" s="1354"/>
      <c r="BB61" s="1354"/>
      <c r="BC61" s="1354"/>
      <c r="BE61" s="795"/>
      <c r="BF61" s="795" t="str">
        <f>IF(T61="","",T61)</f>
        <v>Добавить централизованную систему для дифференциации</v>
      </c>
      <c r="BG61" s="795"/>
      <c r="BH61" s="795"/>
    </row>
    <row s="2612" customFormat="1" customHeight="1" ht="0">
      <c r="A62" s="1373" t="s">
        <v>252</v>
      </c>
      <c r="B62" s="1373"/>
      <c r="C62" s="1373"/>
      <c r="D62" s="1373"/>
      <c r="E62" s="2107"/>
      <c r="F62" s="1373"/>
      <c r="G62" s="1373"/>
      <c r="H62" s="1373"/>
      <c r="I62" s="1373"/>
      <c r="J62" s="1373"/>
      <c r="K62" s="1373"/>
      <c r="L62" s="1376"/>
      <c r="M62" s="1351"/>
      <c r="N62" s="1351"/>
      <c r="O62" s="524"/>
      <c r="P62" s="385"/>
      <c r="Q62" s="1374"/>
      <c r="R62" s="385"/>
      <c r="S62" s="1352"/>
      <c r="T62" s="1355" t="s">
        <v>169</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V62" s="1354"/>
      <c r="AW62" s="1354"/>
      <c r="AX62" s="1354"/>
      <c r="AY62" s="1354"/>
      <c r="AZ62" s="1354"/>
      <c r="BA62" s="1354"/>
      <c r="BB62" s="1354"/>
      <c r="BC62" s="1354"/>
      <c r="BE62" s="506"/>
      <c r="BF62" s="506" t="str">
        <f>IF(T62="","",T62)</f>
        <v>Добавить территорию для дифференциации</v>
      </c>
      <c r="BG62" s="506"/>
      <c r="BH62" s="506"/>
    </row>
    <row s="3274" customFormat="1" customHeight="1" ht="0">
      <c r="A63" s="1344"/>
      <c r="B63" s="1344"/>
      <c r="C63" s="1344"/>
      <c r="D63" s="1344"/>
      <c r="E63" s="1373"/>
      <c r="F63" s="1344"/>
      <c r="G63" s="1344"/>
      <c r="H63" s="1344"/>
      <c r="I63" s="1344"/>
      <c r="J63" s="1344"/>
      <c r="K63" s="1344"/>
      <c r="L63" s="1524"/>
      <c r="M63" s="1351"/>
      <c r="N63" s="1351"/>
      <c r="P63" s="1346"/>
      <c r="Q63" s="1347"/>
      <c r="R63" s="1346"/>
      <c r="S63" s="1352"/>
      <c r="T63" s="1355" t="s">
        <v>170</v>
      </c>
      <c r="U63" s="1354"/>
      <c r="V63" s="1354"/>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R63" s="1354"/>
      <c r="AS63" s="1354"/>
      <c r="AT63" s="1354"/>
      <c r="AU63" s="1354"/>
      <c r="AV63" s="1354"/>
      <c r="AW63" s="1354"/>
      <c r="AX63" s="1354"/>
      <c r="AY63" s="1354"/>
      <c r="AZ63" s="1354"/>
      <c r="BA63" s="1354"/>
      <c r="BB63" s="1354"/>
      <c r="BC63" s="1354"/>
      <c r="BE63" s="795"/>
      <c r="BF63" s="795" t="str">
        <f>IF(T63="","",T63)</f>
        <v>Добавить наименование тарифа</v>
      </c>
      <c r="BG63" s="795"/>
      <c r="BH63" s="795"/>
    </row>
    <row customHeight="1" ht="11.25">
      <c r="M64" s="1168"/>
      <c r="N64" s="1168"/>
      <c r="O64" s="543"/>
      <c r="P64" s="1168"/>
      <c r="Q64" s="1168"/>
      <c r="R64" s="1163"/>
      <c r="S64" s="1163"/>
      <c r="BD64" s="1163"/>
      <c r="BE64" s="1163"/>
      <c r="BF64" s="1163"/>
      <c r="BG64" s="1163"/>
      <c r="BH64" s="1163"/>
    </row>
    <row customHeight="1" ht="18.75">
      <c r="O65" s="543"/>
      <c r="S65" s="127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c r="AV65" s="2106"/>
      <c r="AW65" s="2106"/>
      <c r="AX65" s="2106"/>
      <c r="AY65" s="2106"/>
      <c r="AZ65" s="2106"/>
      <c r="BA65" s="2106"/>
      <c r="BB65" s="2106"/>
      <c r="BC65" s="2106"/>
    </row>
    <row customHeight="1" ht="14.25">
      <c r="O66" s="543"/>
      <c r="T66" s="1510"/>
      <c r="U66" s="1510"/>
      <c r="V66" s="1510"/>
      <c r="W66" s="1510"/>
      <c r="X66" s="1510"/>
      <c r="Y66" s="1510"/>
      <c r="Z66" s="1510"/>
      <c r="AA66" s="1510"/>
      <c r="AB66" s="1510"/>
      <c r="AC66" s="1510"/>
      <c r="AD66" s="1510"/>
      <c r="AE66" s="1510"/>
      <c r="AF66" s="1510"/>
      <c r="AG66" s="1510"/>
      <c r="AH66" s="1510"/>
      <c r="AI66" s="1510"/>
      <c r="AJ66" s="1510"/>
      <c r="AK66" s="1510"/>
      <c r="AL66" s="1510"/>
      <c r="AM66" s="1510"/>
      <c r="AN66" s="1510"/>
      <c r="AO66" s="1510"/>
      <c r="AP66" s="1510"/>
      <c r="AQ66" s="1510"/>
      <c r="AR66" s="1510"/>
      <c r="AS66" s="1510"/>
      <c r="AT66" s="1510"/>
      <c r="AU66" s="1510"/>
      <c r="AV66" s="1510"/>
      <c r="AW66" s="1510"/>
      <c r="AX66" s="1510"/>
      <c r="AY66" s="1510"/>
      <c r="AZ66" s="1510"/>
      <c r="BA66" s="1510"/>
      <c r="BB66" s="1510"/>
      <c r="BC66" s="1510"/>
    </row>
    <row customHeight="1" ht="18.75">
      <c r="O67" s="543"/>
      <c r="S67" s="127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c r="AV67" s="2106"/>
      <c r="AW67" s="2106"/>
      <c r="AX67" s="2106"/>
      <c r="AY67" s="2106"/>
      <c r="AZ67" s="2106"/>
      <c r="BA67" s="2106"/>
      <c r="BB67" s="2106"/>
      <c r="BC67" s="2106"/>
    </row>
    <row customHeight="1" ht="14.25">
      <c r="O68" s="54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B43B88-198C-1EA8-A2EE-4B3F7DFCBD18}" mc:Ignorable="x14ac xr xr2 xr3">
  <sheetPr>
    <tabColor rgb="FFCCCCFF"/>
    <pageSetUpPr fitToPage="1"/>
  </sheetPr>
  <dimension ref="A1:AB28"/>
  <sheetViews>
    <sheetView topLeftCell="A1" showGridLines="0" zoomScale="90" workbookViewId="0">
      <selection activeCell="G13" sqref="G13"/>
    </sheetView>
  </sheetViews>
  <sheetFormatPr defaultColWidth="9.140625" customHeight="1" defaultRowHeight="14.25"/>
  <cols>
    <col min="1" max="1" style="2624" width="8.00390625" hidden="1" customWidth="1"/>
    <col min="2" max="2" style="2625" width="6.00390625" hidden="1" customWidth="1"/>
    <col min="3" max="3" style="2624" width="3.7109375" customWidth="1"/>
    <col min="4" max="4" style="2686" width="3.7109375" customWidth="1"/>
    <col min="5" max="5" style="2688" width="6.28125" customWidth="1"/>
    <col min="6" max="6" style="2624" width="2.7109375" hidden="1" customWidth="1"/>
    <col min="7" max="7" style="2688" width="46.7109375" customWidth="1"/>
    <col min="8" max="8" style="2688" width="43.140625" customWidth="1"/>
    <col min="9" max="9" style="2688" width="14.8515625" customWidth="1"/>
    <col min="10" max="10" style="2630" width="3.7109375" customWidth="1"/>
    <col min="11" max="13" style="2630" width="9.140625" hidden="1"/>
    <col min="14" max="14" style="2631" width="25.7109375" hidden="1" customWidth="1"/>
    <col min="15" max="15" style="2630" width="14.421875" hidden="1" customWidth="1"/>
    <col min="16" max="19" style="2632" width="9.140625" hidden="1"/>
    <col min="20" max="27" style="2688" width="9.140625" hidden="1"/>
    <col min="28" max="28" style="2688" width="9.140625"/>
  </cols>
  <sheetData>
    <row s="2610" customFormat="1" customHeight="1" ht="5.25" hidden="1">
      <c r="A1" s="502"/>
      <c r="B1" s="517"/>
      <c r="C1" s="517"/>
      <c r="D1" s="207"/>
      <c r="F1" s="517"/>
      <c r="G1" s="233" t="s">
        <v>82</v>
      </c>
      <c r="H1" s="500" t="s">
        <v>83</v>
      </c>
      <c r="I1" s="213" t="s">
        <v>84</v>
      </c>
      <c r="J1" s="233" t="s">
        <v>82</v>
      </c>
      <c r="K1" s="233"/>
      <c r="L1" s="233"/>
      <c r="M1" s="233"/>
      <c r="N1" s="234"/>
      <c r="O1" s="233"/>
      <c r="P1" s="233"/>
      <c r="Q1" s="233"/>
      <c r="R1" s="233"/>
      <c r="S1" s="233"/>
      <c r="T1" s="213"/>
      <c r="U1" s="213"/>
      <c r="V1" s="213"/>
      <c r="W1" s="213"/>
      <c r="X1" s="213"/>
      <c r="Y1" s="213"/>
      <c r="Z1" s="213"/>
      <c r="AA1" s="213"/>
      <c r="AB1" s="213"/>
    </row>
    <row s="2618" customFormat="1" customHeight="1" ht="11.25">
      <c r="A2" s="837"/>
      <c r="B2" s="214"/>
      <c r="C2" s="214"/>
      <c r="D2" s="215"/>
      <c r="E2" s="214"/>
      <c r="F2" s="214"/>
      <c r="G2" s="214"/>
      <c r="H2" s="214"/>
      <c r="I2" s="214"/>
      <c r="J2" s="233"/>
      <c r="K2" s="233"/>
      <c r="L2" s="233"/>
      <c r="M2" s="233"/>
      <c r="N2" s="234"/>
      <c r="O2" s="233"/>
      <c r="P2" s="216"/>
      <c r="Q2" s="216"/>
      <c r="R2" s="216"/>
      <c r="S2" s="216"/>
      <c r="T2" s="215"/>
      <c r="U2" s="215"/>
      <c r="V2" s="215"/>
      <c r="W2" s="215"/>
      <c r="X2" s="215"/>
      <c r="Y2" s="215"/>
      <c r="Z2" s="215"/>
      <c r="AA2" s="215"/>
      <c r="AB2" s="215"/>
    </row>
    <row s="2623" customFormat="1" customHeight="1" ht="3">
      <c r="A3" s="764"/>
      <c r="B3" s="423"/>
      <c r="C3" s="764"/>
      <c r="D3" s="150"/>
      <c r="E3" s="89"/>
      <c r="F3" s="515"/>
      <c r="G3" s="89"/>
      <c r="H3" s="89"/>
      <c r="I3" s="152"/>
      <c r="J3" s="233"/>
      <c r="K3" s="141"/>
      <c r="L3" s="141"/>
      <c r="M3" s="141"/>
      <c r="N3" s="212"/>
      <c r="O3" s="141"/>
      <c r="P3" s="211"/>
      <c r="Q3" s="211"/>
      <c r="R3" s="211"/>
      <c r="S3" s="211"/>
    </row>
    <row s="2623" customFormat="1" customHeight="1" ht="25.5">
      <c r="A4" s="764"/>
      <c r="B4" s="423"/>
      <c r="C4" s="764"/>
      <c r="D4" s="150"/>
      <c r="E4" s="1954" t="str">
        <f>NameTemplatesInListMO</f>
        <v>Перечень муниципальных районов и муниципальных образований (территорий действия тарифа)</v>
      </c>
      <c r="F4" s="1954"/>
      <c r="G4" s="1954"/>
      <c r="H4" s="1954"/>
      <c r="I4" s="1954"/>
      <c r="J4" s="233"/>
      <c r="K4" s="141"/>
      <c r="L4" s="141"/>
      <c r="M4" s="141"/>
      <c r="N4" s="212"/>
      <c r="O4" s="141"/>
      <c r="P4" s="211"/>
      <c r="Q4" s="211"/>
      <c r="R4" s="211"/>
      <c r="S4" s="211"/>
    </row>
    <row s="2623" customFormat="1" customHeight="1" ht="3">
      <c r="A5" s="764"/>
      <c r="B5" s="423"/>
      <c r="C5" s="764"/>
      <c r="D5" s="150"/>
      <c r="E5" s="89"/>
      <c r="F5" s="515"/>
      <c r="G5" s="153"/>
      <c r="H5" s="153"/>
      <c r="I5" s="154"/>
      <c r="J5" s="141"/>
      <c r="K5" s="141"/>
      <c r="L5" s="141"/>
      <c r="M5" s="141"/>
      <c r="N5" s="212"/>
      <c r="O5" s="141"/>
      <c r="P5" s="211"/>
      <c r="Q5" s="211"/>
      <c r="R5" s="211"/>
      <c r="S5" s="211"/>
    </row>
    <row s="2623" customFormat="1" customHeight="1" ht="20.25" hidden="1">
      <c r="A6" s="843"/>
      <c r="B6" s="839"/>
      <c r="C6" s="155"/>
      <c r="D6" s="150"/>
      <c r="E6" s="785"/>
      <c r="F6" s="785"/>
      <c r="G6" s="153"/>
      <c r="H6" s="156"/>
      <c r="I6" s="156"/>
      <c r="J6" s="141"/>
      <c r="K6" s="141"/>
      <c r="L6" s="141"/>
      <c r="M6" s="141"/>
      <c r="N6" s="212"/>
      <c r="O6" s="141"/>
      <c r="P6" s="211"/>
      <c r="Q6" s="211"/>
      <c r="R6" s="211"/>
      <c r="S6" s="211"/>
    </row>
    <row customHeight="1" ht="25.5" hidden="1"/>
    <row s="2623" customFormat="1" customHeight="1" ht="14.25">
      <c r="A8" s="764"/>
      <c r="B8" s="423"/>
      <c r="C8" s="764"/>
      <c r="D8" s="150"/>
      <c r="E8" s="1955" t="s">
        <v>85</v>
      </c>
      <c r="F8" s="1956"/>
      <c r="G8" s="1957"/>
      <c r="H8" s="1958" t="s">
        <v>86</v>
      </c>
      <c r="I8" s="1958"/>
      <c r="J8" s="141"/>
      <c r="K8" s="141"/>
      <c r="L8" s="141"/>
      <c r="M8" s="141"/>
      <c r="N8" s="212"/>
      <c r="O8" s="141"/>
      <c r="P8" s="211"/>
      <c r="Q8" s="211"/>
      <c r="R8" s="211"/>
      <c r="S8" s="211"/>
    </row>
    <row s="2623" customFormat="1" customHeight="1" ht="20.25">
      <c r="A9" s="764"/>
      <c r="B9" s="423"/>
      <c r="C9" s="764"/>
      <c r="D9" s="150"/>
      <c r="E9" s="783" t="s">
        <v>87</v>
      </c>
      <c r="F9" s="783"/>
      <c r="G9" s="158" t="s">
        <v>88</v>
      </c>
      <c r="H9" s="158" t="s">
        <v>88</v>
      </c>
      <c r="I9" s="158" t="s">
        <v>84</v>
      </c>
      <c r="J9" s="141"/>
      <c r="K9" s="141"/>
      <c r="L9" s="141"/>
      <c r="M9" s="141"/>
      <c r="N9" s="212"/>
      <c r="O9" s="141"/>
      <c r="P9" s="211"/>
      <c r="Q9" s="211"/>
      <c r="R9" s="211"/>
      <c r="S9" s="211"/>
    </row>
    <row customHeight="1" ht="11.25">
      <c r="D10" s="162"/>
      <c r="E10" s="784" t="s">
        <v>89</v>
      </c>
      <c r="F10" s="784"/>
      <c r="G10" s="209" t="s">
        <v>90</v>
      </c>
      <c r="H10" s="209" t="s">
        <v>91</v>
      </c>
      <c r="I10" s="209" t="s">
        <v>92</v>
      </c>
      <c r="J10" s="172"/>
      <c r="K10" s="172"/>
      <c r="L10" s="172"/>
      <c r="M10" s="172"/>
      <c r="N10" s="157"/>
      <c r="O10" s="172"/>
      <c r="P10" s="210"/>
      <c r="Q10" s="210"/>
      <c r="R10" s="210"/>
      <c r="S10" s="210"/>
    </row>
    <row s="2623" customFormat="1" customHeight="1" ht="0.75">
      <c r="A11" s="764"/>
      <c r="B11" s="423"/>
      <c r="C11" s="764"/>
      <c r="D11" s="150"/>
      <c r="E11" s="796"/>
      <c r="F11" s="796"/>
      <c r="G11" s="159"/>
      <c r="H11" s="159"/>
      <c r="I11" s="161"/>
      <c r="J11" s="235" t="s">
        <v>93</v>
      </c>
      <c r="K11" s="141"/>
      <c r="L11" s="141"/>
      <c r="M11" s="141" t="s">
        <v>94</v>
      </c>
      <c r="N11" s="212" t="s">
        <v>95</v>
      </c>
      <c r="O11" s="141" t="s">
        <v>96</v>
      </c>
      <c r="P11" s="211"/>
      <c r="Q11" s="211"/>
      <c r="R11" s="211"/>
      <c r="S11" s="211"/>
    </row>
    <row s="2657" customFormat="1" customHeight="1" ht="14.25">
      <c r="A12" s="1953">
        <v>1</v>
      </c>
      <c r="B12" s="423"/>
      <c r="C12" s="764"/>
      <c r="D12" s="788"/>
      <c r="E12" s="205">
        <f>A12</f>
        <v>1</v>
      </c>
      <c r="F12" s="808" t="s">
        <v>97</v>
      </c>
      <c r="G12" s="546" t="str">
        <f>"Территория "&amp;E12</f>
        <v>Территория 1</v>
      </c>
      <c r="H12" s="798"/>
      <c r="I12" s="798"/>
      <c r="J12" s="795"/>
      <c r="K12" s="506"/>
      <c r="L12" s="506"/>
      <c r="M12" s="506"/>
      <c r="N12" s="212"/>
      <c r="O12" s="506"/>
      <c r="P12" s="211"/>
      <c r="Q12" s="211"/>
      <c r="R12" s="211"/>
      <c r="S12" s="211"/>
    </row>
    <row s="2666" customFormat="1" customHeight="1" ht="15">
      <c r="A13" s="1953"/>
      <c r="B13" s="423">
        <v>1</v>
      </c>
      <c r="C13" s="423"/>
      <c r="D13" s="806"/>
      <c r="E13" s="786" t="str">
        <f>A12&amp;"."&amp;B13</f>
        <v>1.1</v>
      </c>
      <c r="F13" s="801" t="s">
        <v>98</v>
      </c>
      <c r="G13" s="799" t="s">
        <v>99</v>
      </c>
      <c r="H13" s="799" t="s">
        <v>99</v>
      </c>
      <c r="I13" s="797" t="s">
        <v>100</v>
      </c>
      <c r="J13" s="506">
        <f>MERGEVALUE(G13)</f>
      </c>
      <c r="K13" s="517"/>
      <c r="L13" s="517"/>
      <c r="M13" s="506" t="str">
        <f t="array" ref="M13:M13">IF(ISERROR(MATCH(MID(N13,1,250),MID(note_ter,1,250),0)),"n","y")</f>
        <v>n</v>
      </c>
      <c r="N13" s="517"/>
      <c r="O13" s="506" t="str">
        <f>H13&amp;"("&amp;I13&amp;")"</f>
        <v>Город Азов(60704000)</v>
      </c>
      <c r="P13" s="423"/>
      <c r="Q13" s="423"/>
      <c r="R13" s="426"/>
      <c r="S13" s="423"/>
      <c r="T13" s="423"/>
      <c r="U13" s="423"/>
      <c r="V13" s="428"/>
      <c r="W13" s="428"/>
      <c r="X13" s="425"/>
      <c r="Y13" s="425"/>
      <c r="Z13" s="425"/>
      <c r="AA13" s="425"/>
      <c r="AB13" s="425"/>
    </row>
    <row s="2666" customFormat="1" customHeight="1" ht="15">
      <c r="A14" s="1953"/>
      <c r="B14" s="423"/>
      <c r="C14" s="418"/>
      <c r="D14" s="807"/>
      <c r="E14" s="427"/>
      <c r="F14" s="163"/>
      <c r="G14" s="421" t="s">
        <v>101</v>
      </c>
      <c r="H14" s="173"/>
      <c r="I14" s="430"/>
      <c r="J14" s="517"/>
      <c r="K14" s="517"/>
      <c r="L14" s="517"/>
      <c r="M14" s="517"/>
      <c r="N14" s="506"/>
      <c r="O14" s="517"/>
      <c r="P14" s="423"/>
      <c r="Q14" s="423"/>
      <c r="R14" s="426"/>
      <c r="S14" s="423"/>
      <c r="T14" s="423"/>
      <c r="U14" s="423"/>
      <c r="V14" s="428"/>
      <c r="W14" s="428"/>
      <c r="X14" s="425"/>
      <c r="Y14" s="425"/>
      <c r="Z14" s="425"/>
      <c r="AA14" s="425"/>
      <c r="AB14" s="425"/>
    </row>
    <row s="2623" customFormat="1" customHeight="1" ht="14.25">
      <c r="A15" s="764"/>
      <c r="B15" s="423"/>
      <c r="C15" s="764"/>
      <c r="D15" s="788"/>
      <c r="E15" s="800"/>
      <c r="F15" s="164"/>
      <c r="G15" s="422" t="s">
        <v>102</v>
      </c>
      <c r="H15" s="164"/>
      <c r="I15" s="165"/>
      <c r="J15" s="235"/>
      <c r="K15" s="141"/>
      <c r="L15" s="141"/>
      <c r="M15" s="141"/>
      <c r="N15" s="212" t="s">
        <v>103</v>
      </c>
      <c r="O15" s="141"/>
      <c r="P15" s="211"/>
      <c r="Q15" s="211"/>
      <c r="R15" s="211"/>
      <c r="S15" s="211"/>
    </row>
    <row s="2623" customFormat="1" customHeight="1" ht="21">
      <c r="A16" s="764"/>
      <c r="B16" s="423"/>
      <c r="C16" s="764"/>
      <c r="D16" s="151"/>
      <c r="E16" s="166"/>
      <c r="F16" s="166"/>
      <c r="G16" s="166"/>
      <c r="H16" s="166"/>
      <c r="I16" s="166"/>
      <c r="J16" s="141"/>
      <c r="K16" s="141"/>
      <c r="L16" s="141"/>
      <c r="M16" s="141"/>
      <c r="N16" s="212"/>
      <c r="O16" s="141"/>
      <c r="P16" s="211"/>
      <c r="Q16" s="211"/>
      <c r="R16" s="211"/>
      <c r="S16" s="211"/>
    </row>
    <row s="2623" customFormat="1" customHeight="1" ht="14.25">
      <c r="A17" s="764"/>
      <c r="B17" s="423"/>
      <c r="C17" s="764"/>
      <c r="D17" s="151"/>
      <c r="E17" s="68"/>
      <c r="F17" s="764"/>
      <c r="G17" s="68"/>
      <c r="H17" s="68"/>
      <c r="I17" s="68"/>
      <c r="J17" s="141"/>
      <c r="K17" s="141"/>
      <c r="L17" s="141"/>
      <c r="M17" s="141"/>
      <c r="N17" s="212"/>
      <c r="O17" s="141"/>
      <c r="P17" s="211"/>
      <c r="Q17" s="211"/>
      <c r="R17" s="211"/>
      <c r="S17" s="211"/>
    </row>
    <row s="2623" customFormat="1" customHeight="1" ht="0.75">
      <c r="A18" s="764"/>
      <c r="B18" s="423"/>
      <c r="C18" s="764"/>
      <c r="D18" s="151"/>
      <c r="E18" s="68"/>
      <c r="F18" s="764"/>
      <c r="G18" s="68"/>
      <c r="H18" s="68"/>
      <c r="I18" s="68"/>
      <c r="J18" s="141"/>
      <c r="K18" s="141"/>
      <c r="L18" s="141"/>
      <c r="M18" s="141"/>
      <c r="N18" s="212"/>
      <c r="O18" s="141"/>
      <c r="P18" s="211"/>
      <c r="Q18" s="211"/>
      <c r="R18" s="211"/>
      <c r="S18" s="211"/>
    </row>
    <row s="2689" customFormat="1" customHeight="1" ht="10.5">
      <c r="B19" s="840"/>
      <c r="D19" s="168"/>
      <c r="J19" s="141"/>
      <c r="K19" s="141"/>
      <c r="L19" s="141"/>
      <c r="M19" s="141"/>
      <c r="N19" s="212"/>
      <c r="O19" s="141"/>
      <c r="P19" s="211"/>
      <c r="Q19" s="211"/>
      <c r="R19" s="211"/>
      <c r="S19" s="211"/>
    </row>
    <row s="2689" customFormat="1" customHeight="1" ht="10.5">
      <c r="B20" s="840"/>
      <c r="D20" s="168"/>
      <c r="J20" s="141"/>
      <c r="K20" s="141"/>
      <c r="L20" s="141"/>
      <c r="M20" s="141"/>
      <c r="N20" s="212"/>
      <c r="O20" s="141"/>
      <c r="P20" s="211"/>
      <c r="Q20" s="211"/>
      <c r="R20" s="211"/>
      <c r="S20" s="211"/>
    </row>
    <row r="24" customHeight="1" ht="14.25">
      <c r="H24" s="48"/>
    </row>
    <row r="28" customHeight="1" ht="14.25">
      <c r="J28" s="68"/>
      <c r="K28" s="68"/>
      <c r="L28" s="68"/>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60"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8CBC58-0D3B-72FF-C7A8-367C8E8032FC}" mc:Ignorable="x14ac xr xr2 xr3">
  <sheetPr>
    <tabColor theme="9" tint="-0.25"/>
  </sheetPr>
  <dimension ref="A1:AE302"/>
  <sheetViews>
    <sheetView topLeftCell="A1" showGridLines="0" zoomScale="90" workbookViewId="0">
      <selection activeCell="A1" sqref="A1"/>
    </sheetView>
  </sheetViews>
  <sheetFormatPr defaultColWidth="9.140625" customHeight="1" defaultRowHeight="11.25"/>
  <cols>
    <col min="1" max="1" style="4041" width="10.7109375" hidden="1" customWidth="1"/>
    <col min="2" max="2" style="3293" width="16.8515625" hidden="1" customWidth="1"/>
    <col min="3" max="3" style="4032" width="5.57421875" hidden="1" customWidth="1"/>
    <col min="4" max="4" style="4144" width="3.7109375" customWidth="1"/>
    <col min="5" max="5" style="2950" width="7.7109375" customWidth="1"/>
    <col min="6" max="6" style="2950" width="54.57421875" customWidth="1"/>
    <col min="7" max="7" style="2950" width="10.421875" customWidth="1"/>
    <col min="8" max="8" style="2950" width="40.7109375" hidden="1" customWidth="1"/>
    <col min="9" max="9" style="2950" width="40.7109375" customWidth="1"/>
    <col min="10" max="10" style="2950" width="102.8515625" customWidth="1"/>
    <col min="11" max="11" style="3293" width="9.7109375" customWidth="1"/>
    <col min="12" max="12" style="4032" width="5.28125" customWidth="1"/>
    <col min="13" max="13" style="4032" width="3.7109375" customWidth="1"/>
    <col min="14" max="17" style="3293" width="3.7109375" customWidth="1"/>
    <col min="18" max="18" style="4032" width="10.57421875" customWidth="1"/>
    <col min="19" max="19" style="3293" width="34.7109375" customWidth="1"/>
    <col min="20" max="20" style="3293" width="9.421875" customWidth="1"/>
    <col min="21" max="21" style="4045" width="9.140625"/>
    <col min="22" max="26" style="3293" width="9.140625"/>
    <col min="27" max="31" style="2949" width="9.140625"/>
  </cols>
  <sheetData>
    <row customHeight="1" ht="11.25" hidden="1"/>
    <row customHeight="1" ht="23.25" hidden="1">
      <c r="B2" s="1953"/>
      <c r="C2" s="1175" t="s">
        <v>532</v>
      </c>
      <c r="D2" s="1678"/>
      <c r="E2" s="552">
        <f>B2</f>
        <v>0</v>
      </c>
      <c r="F2" s="553"/>
      <c r="G2" s="1686" t="s">
        <v>533</v>
      </c>
      <c r="H2" s="1686" t="s">
        <v>533</v>
      </c>
      <c r="I2" s="1686" t="s">
        <v>533</v>
      </c>
      <c r="J2" s="277" t="s">
        <v>534</v>
      </c>
      <c r="K2" s="549"/>
    </row>
    <row s="4032" customFormat="1" customHeight="1" ht="0.75" hidden="1">
      <c r="B3" s="1953"/>
      <c r="C3" s="1175"/>
      <c r="D3" s="554"/>
      <c r="E3" s="555"/>
      <c r="F3" s="556" t="s">
        <v>535</v>
      </c>
      <c r="G3" s="557"/>
      <c r="H3" s="557">
        <f>H4*H5+H7</f>
        <v>0</v>
      </c>
      <c r="I3" s="557">
        <f>I4*I5+I6</f>
        <v>0</v>
      </c>
      <c r="J3" s="558"/>
    </row>
    <row customHeight="1" ht="23.25" hidden="1">
      <c r="B4" s="1953"/>
      <c r="C4" s="1175"/>
      <c r="D4" s="1678"/>
      <c r="E4" s="552" t="str">
        <f>B2&amp;".1"</f>
        <v>.1</v>
      </c>
      <c r="F4" s="559" t="s">
        <v>536</v>
      </c>
      <c r="G4" s="560"/>
      <c r="H4" s="547"/>
      <c r="I4" s="547"/>
      <c r="J4" s="277" t="s">
        <v>537</v>
      </c>
      <c r="K4" s="549"/>
    </row>
    <row customHeight="1" ht="18.75" hidden="1">
      <c r="B5" s="1953"/>
      <c r="C5" s="1175"/>
      <c r="D5" s="1678"/>
      <c r="E5" s="552" t="str">
        <f>B2&amp;".2"</f>
        <v>.2</v>
      </c>
      <c r="F5" s="559" t="s">
        <v>538</v>
      </c>
      <c r="G5" s="1686" t="s">
        <v>539</v>
      </c>
      <c r="H5" s="547"/>
      <c r="I5" s="547"/>
      <c r="J5" s="277"/>
      <c r="K5" s="549"/>
    </row>
    <row customHeight="1" ht="18.75" hidden="1">
      <c r="B6" s="1953"/>
      <c r="C6" s="1175"/>
      <c r="D6" s="1678"/>
      <c r="E6" s="552" t="str">
        <f>B2&amp;".3"</f>
        <v>.3</v>
      </c>
      <c r="F6" s="559" t="s">
        <v>540</v>
      </c>
      <c r="G6" s="1686" t="s">
        <v>539</v>
      </c>
      <c r="H6" s="547"/>
      <c r="I6" s="547"/>
      <c r="J6" s="277"/>
      <c r="K6" s="549"/>
    </row>
    <row customHeight="1" ht="18.75" hidden="1">
      <c r="B7" s="1953"/>
      <c r="C7" s="1175"/>
      <c r="D7" s="1678"/>
      <c r="E7" s="552" t="str">
        <f>B2&amp;".4"</f>
        <v>.4</v>
      </c>
      <c r="F7" s="559" t="s">
        <v>541</v>
      </c>
      <c r="G7" s="1686" t="s">
        <v>533</v>
      </c>
      <c r="H7" s="561"/>
      <c r="I7" s="561"/>
      <c r="J7" s="277"/>
      <c r="K7" s="549"/>
    </row>
    <row s="3293" customFormat="1" customHeight="1" ht="11.25" hidden="1">
      <c r="A8" s="994"/>
      <c r="C8" s="1676"/>
      <c r="D8" s="543"/>
      <c r="H8" s="1168">
        <v>4</v>
      </c>
      <c r="I8" s="1168">
        <v>4</v>
      </c>
      <c r="L8" s="1676"/>
      <c r="M8" s="1676"/>
      <c r="R8" s="1676"/>
    </row>
    <row s="3293" customFormat="1" customHeight="1" ht="22.5" hidden="1">
      <c r="A9" s="994"/>
      <c r="C9" s="1676"/>
      <c r="D9" s="544"/>
      <c r="E9" s="1688"/>
      <c r="F9" s="546"/>
      <c r="G9" s="1686" t="s">
        <v>539</v>
      </c>
      <c r="H9" s="547"/>
      <c r="I9" s="547"/>
      <c r="J9" s="548" t="s">
        <v>542</v>
      </c>
      <c r="K9" s="549"/>
      <c r="L9" s="1676"/>
      <c r="M9" s="1676"/>
      <c r="R9" s="1676"/>
      <c r="U9" s="550"/>
      <c r="AA9" s="1672"/>
      <c r="AB9" s="1672"/>
      <c r="AC9" s="1672"/>
      <c r="AD9" s="1672"/>
      <c r="AE9" s="1672"/>
    </row>
    <row customHeight="1" ht="11.25" hidden="1"/>
    <row customHeight="1" ht="18.75" hidden="1">
      <c r="D11" s="1678"/>
      <c r="E11" s="552"/>
      <c r="F11" s="546"/>
      <c r="G11" s="1686" t="s">
        <v>543</v>
      </c>
      <c r="H11" s="547"/>
      <c r="I11" s="547"/>
      <c r="J11" s="277" t="s">
        <v>544</v>
      </c>
      <c r="K11" s="549"/>
    </row>
    <row customHeight="1" ht="11.25" hidden="1"/>
    <row customHeight="1" ht="22.5" hidden="1">
      <c r="D13" s="1678"/>
      <c r="E13" s="552"/>
      <c r="F13" s="546"/>
      <c r="G13" s="976" t="s">
        <v>545</v>
      </c>
      <c r="H13" s="551"/>
      <c r="I13" s="551"/>
      <c r="J13" s="751" t="s">
        <v>546</v>
      </c>
      <c r="K13" s="549"/>
    </row>
    <row customHeight="1" ht="11.25" hidden="1"/>
    <row customHeight="1" ht="22.5" hidden="1">
      <c r="D15" s="1678"/>
      <c r="E15" s="552"/>
      <c r="F15" s="546"/>
      <c r="G15" s="1686" t="s">
        <v>547</v>
      </c>
      <c r="H15" s="551"/>
      <c r="I15" s="551"/>
      <c r="J15" s="277" t="s">
        <v>548</v>
      </c>
      <c r="K15" s="549"/>
    </row>
    <row customHeight="1" ht="11.25" hidden="1"/>
    <row customHeight="1" ht="22.5" hidden="1">
      <c r="D17" s="1678"/>
      <c r="E17" s="552"/>
      <c r="F17" s="546"/>
      <c r="G17" s="1686" t="s">
        <v>549</v>
      </c>
      <c r="H17" s="551"/>
      <c r="I17" s="551"/>
      <c r="J17" s="277" t="s">
        <v>550</v>
      </c>
      <c r="K17" s="549"/>
    </row>
    <row customHeight="1" ht="11.25" hidden="1"/>
    <row s="2949" customFormat="1" customHeight="1" ht="11.25" hidden="1">
      <c r="A19" s="994"/>
      <c r="B19" s="1168"/>
      <c r="C19" s="1676"/>
      <c r="D19" s="360"/>
      <c r="J19" s="1672">
        <v>4</v>
      </c>
      <c r="K19" s="1168"/>
      <c r="L19" s="1676"/>
      <c r="M19" s="1676"/>
      <c r="N19" s="1168"/>
      <c r="O19" s="1168"/>
      <c r="P19" s="1168"/>
      <c r="Q19" s="1168"/>
      <c r="R19" s="1676"/>
      <c r="S19" s="1168"/>
      <c r="T19" s="1168"/>
      <c r="U19" s="550"/>
      <c r="V19" s="1168"/>
      <c r="W19" s="1168"/>
      <c r="X19" s="1168"/>
      <c r="Y19" s="1168"/>
      <c r="Z19" s="1168"/>
    </row>
    <row r="21" customHeight="1" ht="24">
      <c r="E21" s="2140"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40"/>
      <c r="G21" s="2140"/>
      <c r="H21" s="2140"/>
      <c r="I21" s="2140"/>
      <c r="J21" s="562"/>
    </row>
    <row customHeight="1" ht="24">
      <c r="E22" s="2141" t="str">
        <f>IF(org=0,"Не определено",org)</f>
        <v>МУП г. Азова "Теплоэнерго"</v>
      </c>
      <c r="F22" s="2141"/>
      <c r="G22" s="2141"/>
      <c r="H22" s="2141"/>
      <c r="I22" s="2141"/>
    </row>
    <row customHeight="1" ht="11.25">
      <c r="E23" s="1143"/>
      <c r="F23" s="1143"/>
      <c r="G23" s="1143"/>
      <c r="H23" s="1143"/>
      <c r="I23" s="1143"/>
    </row>
    <row s="4032" customFormat="1" customHeight="1" ht="0.75">
      <c r="A24" s="1175"/>
      <c r="D24" s="1682"/>
      <c r="H24" s="895"/>
      <c r="I24" s="895" t="s">
        <v>116</v>
      </c>
    </row>
    <row customHeight="1" ht="11.25">
      <c r="E25" s="717"/>
      <c r="F25" s="2213" t="s">
        <v>104</v>
      </c>
      <c r="G25" s="2214"/>
      <c r="H25" s="1692" t="str">
        <f>IF(H24="","",INDEX(DIFFERENTIATION_UNMERGE_VD,MATCH(H24,DIFFERENTIATION_ID_DIFF,0)))</f>
        <v/>
      </c>
      <c r="I25" s="1692">
        <f>IF(I24="","",INDEX(DIFFERENTIATION_UNMERGE_VD,MATCH(I24,DIFFERENTIATION_ID_DIFF,0)))</f>
        <v>0</v>
      </c>
      <c r="J25" s="1971"/>
    </row>
    <row customHeight="1" ht="11.25">
      <c r="E26" s="717"/>
      <c r="F26" s="2213" t="s">
        <v>551</v>
      </c>
      <c r="G26" s="2214"/>
      <c r="H26" s="1692" t="str">
        <f>IF(H24="","",INDEX(DIFFERENTIATION_UNMERGE_AREA,MATCH(H24,DIFFERENTIATION_ID_DIFF,0)))</f>
        <v/>
      </c>
      <c r="I26" s="1692" t="str">
        <f>IF(I24="","",INDEX(DIFFERENTIATION_UNMERGE_AREA,MATCH(I24,DIFFERENTIATION_ID_DIFF,0)))</f>
        <v/>
      </c>
      <c r="J26" s="1971"/>
    </row>
    <row customHeight="1" ht="11.25">
      <c r="E27" s="717"/>
      <c r="F27" s="2213" t="s">
        <v>552</v>
      </c>
      <c r="G27" s="2214"/>
      <c r="H27" s="1692" t="str">
        <f>IF(H24="","",INDEX(DIFFERENTIATION_UNMERGE_SYSTEM,MATCH(H24,DIFFERENTIATION_ID_DIFF,0)))</f>
        <v/>
      </c>
      <c r="I27" s="1692" t="str">
        <f>IF(I24="","",INDEX(DIFFERENTIATION_UNMERGE_SYSTEM,MATCH(I24,DIFFERENTIATION_ID_DIFF,0)))</f>
        <v>без дифференциации</v>
      </c>
      <c r="J27" s="1971"/>
    </row>
    <row customHeight="1" ht="11.25">
      <c r="E28" s="2215" t="s">
        <v>291</v>
      </c>
      <c r="F28" s="2216"/>
      <c r="G28" s="2216"/>
      <c r="H28" s="1685"/>
      <c r="I28" s="1685"/>
      <c r="J28" s="1971"/>
    </row>
    <row customHeight="1" ht="22.5">
      <c r="E29" s="1686" t="s">
        <v>87</v>
      </c>
      <c r="F29" s="1693" t="s">
        <v>293</v>
      </c>
      <c r="G29" s="1693" t="s">
        <v>553</v>
      </c>
      <c r="H29" s="1693" t="s">
        <v>294</v>
      </c>
      <c r="I29" s="1693" t="s">
        <v>294</v>
      </c>
      <c r="J29" s="1971"/>
    </row>
    <row customHeight="1" ht="18.75">
      <c r="D30" s="1678"/>
      <c r="E30" s="552">
        <f>FHD_NUM_P_1</f>
        <v>1</v>
      </c>
      <c r="F30" s="1923" t="str">
        <f>FHD_P_1</f>
        <v>Выручка от регулируемого вида деятельности с распределением по видам деятельности</v>
      </c>
      <c r="G30" s="1921" t="s">
        <v>539</v>
      </c>
      <c r="H30" s="563"/>
      <c r="I30" s="563"/>
      <c r="J30" s="277" t="str">
        <f>FHD_NOTE_P_1</f>
        <v>Указывается выручка от регулируемого вида деятельности с распределением по видам деятельности.</v>
      </c>
      <c r="K30" s="549"/>
    </row>
    <row customHeight="1" ht="11.25">
      <c r="D31" s="1678"/>
      <c r="E31" s="552">
        <f>FHD_NUM_P_2</f>
        <v>2</v>
      </c>
      <c r="F31" s="1923" t="str">
        <f>FHD_P_2</f>
        <v>Себестоимость производимых товаров (оказываемых услуг) по регулируемому виду деятельности, включая:</v>
      </c>
      <c r="G31" s="1921" t="s">
        <v>539</v>
      </c>
      <c r="H31" s="564">
        <f>SUMIF($K33:$K71,$K31,H33:H71)</f>
        <v>0</v>
      </c>
      <c r="I31" s="564">
        <f>SUMIF($K33:$K71,$K31,I33:I71)</f>
        <v>0</v>
      </c>
      <c r="J31" s="277" t="str">
        <f>FHD_NOTE_P_2</f>
        <v>Указывается суммарная себестоимость производимых товаров.</v>
      </c>
      <c r="K31" s="1676" t="s">
        <v>554</v>
      </c>
    </row>
    <row customHeight="1" ht="11.25">
      <c r="D32" s="1678"/>
      <c r="E32" s="552" t="str">
        <f>FHD_NUM_P_3</f>
        <v>2.1</v>
      </c>
      <c r="F32" s="1554" t="str">
        <f>FHD_P_3</f>
        <v>Расходы на приобретаемую тепловую энергию (мощность), теплоноситель</v>
      </c>
      <c r="G32" s="1921" t="s">
        <v>539</v>
      </c>
      <c r="H32" s="563"/>
      <c r="I32" s="563"/>
      <c r="J32" s="277" t="str">
        <f>FHD_NOTE_P_3</f>
        <v/>
      </c>
      <c r="K32" s="1676" t="str">
        <f>IF((LEN(E32)-LEN(SUBSTITUTE(E32,".","")))/LEN(".")=1,"p","")</f>
        <v>p</v>
      </c>
    </row>
    <row customHeight="1" ht="11.25">
      <c r="A33" s="2210" t="s">
        <v>555</v>
      </c>
      <c r="D33" s="1678"/>
      <c r="E33" s="552" t="str">
        <f>FHD_NUM_P_4</f>
        <v>2.2</v>
      </c>
      <c r="F33" s="1554"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921" t="s">
        <v>539</v>
      </c>
      <c r="H33" s="564">
        <f>SUMIF($F34:$F40,$F3,H34:H40)</f>
        <v>0</v>
      </c>
      <c r="I33" s="564">
        <f>SUMIF($F34:$F40,$F3,I34:I40)</f>
        <v>0</v>
      </c>
      <c r="J33" s="277" t="str">
        <f>FHD_NOTE_P_4</f>
        <v>Указываются суммарные расходы на приобретение топлива всех видов.</v>
      </c>
      <c r="K33" s="1676" t="str">
        <f>IF((LEN(E33)-LEN(SUBSTITUTE(E33,".","")))/LEN(".")=1,"p","")</f>
        <v>p</v>
      </c>
    </row>
    <row s="4068" customFormat="1" customHeight="1" ht="0.75">
      <c r="A34" s="2210"/>
      <c r="B34" s="2211" t="str">
        <f>E33&amp;".0"</f>
        <v>2.2.0</v>
      </c>
      <c r="C34" s="1175"/>
      <c r="D34" s="566"/>
      <c r="E34" s="567"/>
      <c r="F34" s="568"/>
      <c r="G34" s="569"/>
      <c r="H34" s="503"/>
      <c r="I34" s="503"/>
      <c r="J34" s="570"/>
      <c r="K34" s="1676" t="str">
        <f>IF((LEN(E34)-LEN(SUBSTITUTE(E34,".","")))/LEN(".")=1,"p","")</f>
        <v/>
      </c>
      <c r="L34" s="1676"/>
      <c r="M34" s="1676"/>
      <c r="N34" s="1676"/>
      <c r="O34" s="1676"/>
      <c r="P34" s="1676"/>
      <c r="Q34" s="1676"/>
      <c r="R34" s="1676"/>
      <c r="S34" s="1676"/>
      <c r="T34" s="1676"/>
      <c r="U34" s="571"/>
      <c r="V34" s="1676"/>
      <c r="W34" s="1676"/>
      <c r="X34" s="1676"/>
      <c r="Y34" s="1676"/>
      <c r="Z34" s="1676"/>
      <c r="AA34" s="572"/>
      <c r="AB34" s="572"/>
      <c r="AC34" s="572"/>
      <c r="AD34" s="572"/>
      <c r="AE34" s="572"/>
    </row>
    <row s="4068" customFormat="1" customHeight="1" ht="0.75">
      <c r="A35" s="2210"/>
      <c r="B35" s="2211"/>
      <c r="C35" s="1175"/>
      <c r="D35" s="566"/>
      <c r="E35" s="573"/>
      <c r="F35" s="574"/>
      <c r="G35" s="569"/>
      <c r="H35" s="575"/>
      <c r="I35" s="575"/>
      <c r="J35" s="570"/>
      <c r="K35" s="1676" t="str">
        <f>IF((LEN(E35)-LEN(SUBSTITUTE(E35,".","")))/LEN(".")=1,"p","")</f>
        <v/>
      </c>
      <c r="L35" s="1676"/>
      <c r="M35" s="1676"/>
      <c r="N35" s="1676"/>
      <c r="O35" s="1676"/>
      <c r="P35" s="1676"/>
      <c r="Q35" s="1676"/>
      <c r="R35" s="1676"/>
      <c r="S35" s="1676"/>
      <c r="T35" s="1676"/>
      <c r="U35" s="571"/>
      <c r="V35" s="1676"/>
      <c r="W35" s="1676"/>
      <c r="X35" s="1676"/>
      <c r="Y35" s="1676"/>
      <c r="Z35" s="1676"/>
      <c r="AA35" s="572"/>
      <c r="AB35" s="572"/>
      <c r="AC35" s="572"/>
      <c r="AD35" s="572"/>
      <c r="AE35" s="572"/>
    </row>
    <row s="4068" customFormat="1" customHeight="1" ht="0.75">
      <c r="A36" s="2210"/>
      <c r="B36" s="2211"/>
      <c r="C36" s="1175"/>
      <c r="D36" s="566"/>
      <c r="E36" s="573"/>
      <c r="F36" s="574"/>
      <c r="G36" s="569"/>
      <c r="H36" s="575"/>
      <c r="I36" s="575"/>
      <c r="J36" s="570"/>
      <c r="K36" s="1676" t="str">
        <f>IF((LEN(E36)-LEN(SUBSTITUTE(E36,".","")))/LEN(".")=1,"p","")</f>
        <v/>
      </c>
      <c r="L36" s="1676"/>
      <c r="M36" s="1676"/>
      <c r="N36" s="1676"/>
      <c r="O36" s="1676"/>
      <c r="P36" s="1676"/>
      <c r="Q36" s="1676"/>
      <c r="R36" s="1676"/>
      <c r="S36" s="1676"/>
      <c r="T36" s="1676"/>
      <c r="U36" s="571"/>
      <c r="V36" s="1676"/>
      <c r="W36" s="1676"/>
      <c r="X36" s="1676"/>
      <c r="Y36" s="1676"/>
      <c r="Z36" s="1676"/>
      <c r="AA36" s="572"/>
      <c r="AB36" s="572"/>
      <c r="AC36" s="572"/>
      <c r="AD36" s="572"/>
      <c r="AE36" s="572"/>
    </row>
    <row s="4068" customFormat="1" customHeight="1" ht="0.75">
      <c r="A37" s="2210"/>
      <c r="B37" s="2211"/>
      <c r="C37" s="1175"/>
      <c r="D37" s="566"/>
      <c r="E37" s="573"/>
      <c r="F37" s="574"/>
      <c r="G37" s="569"/>
      <c r="H37" s="575"/>
      <c r="I37" s="575"/>
      <c r="J37" s="570"/>
      <c r="K37" s="1676" t="str">
        <f>IF((LEN(E37)-LEN(SUBSTITUTE(E37,".","")))/LEN(".")=1,"p","")</f>
        <v/>
      </c>
      <c r="L37" s="1676"/>
      <c r="M37" s="1676"/>
      <c r="N37" s="1676"/>
      <c r="O37" s="1676"/>
      <c r="P37" s="1676"/>
      <c r="Q37" s="1676"/>
      <c r="R37" s="1676"/>
      <c r="S37" s="1676"/>
      <c r="T37" s="1676"/>
      <c r="U37" s="571"/>
      <c r="V37" s="1676"/>
      <c r="W37" s="1676"/>
      <c r="X37" s="1676"/>
      <c r="Y37" s="1676"/>
      <c r="Z37" s="1676"/>
      <c r="AA37" s="572"/>
      <c r="AB37" s="572"/>
      <c r="AC37" s="572"/>
      <c r="AD37" s="572"/>
      <c r="AE37" s="572"/>
    </row>
    <row s="4068" customFormat="1" customHeight="1" ht="0.75">
      <c r="A38" s="2210"/>
      <c r="B38" s="2211"/>
      <c r="C38" s="1175"/>
      <c r="D38" s="566"/>
      <c r="E38" s="573"/>
      <c r="F38" s="574"/>
      <c r="G38" s="569"/>
      <c r="H38" s="575"/>
      <c r="I38" s="575"/>
      <c r="J38" s="570"/>
      <c r="K38" s="1676" t="str">
        <f>IF((LEN(E38)-LEN(SUBSTITUTE(E38,".","")))/LEN(".")=1,"p","")</f>
        <v/>
      </c>
      <c r="L38" s="1676"/>
      <c r="M38" s="1676"/>
      <c r="N38" s="1676"/>
      <c r="O38" s="1676"/>
      <c r="P38" s="1676"/>
      <c r="Q38" s="1676"/>
      <c r="R38" s="1676"/>
      <c r="S38" s="1676"/>
      <c r="T38" s="1676"/>
      <c r="U38" s="571"/>
      <c r="V38" s="1676"/>
      <c r="W38" s="1676"/>
      <c r="X38" s="1676"/>
      <c r="Y38" s="1676"/>
      <c r="Z38" s="1676"/>
      <c r="AA38" s="572"/>
      <c r="AB38" s="572"/>
      <c r="AC38" s="572"/>
      <c r="AD38" s="572"/>
      <c r="AE38" s="572"/>
    </row>
    <row s="4068" customFormat="1" customHeight="1" ht="0.75">
      <c r="A39" s="2210"/>
      <c r="B39" s="2211"/>
      <c r="C39" s="1175"/>
      <c r="D39" s="566"/>
      <c r="E39" s="573"/>
      <c r="F39" s="574"/>
      <c r="G39" s="569"/>
      <c r="H39" s="503"/>
      <c r="I39" s="503"/>
      <c r="J39" s="570"/>
      <c r="K39" s="1676" t="str">
        <f>IF((LEN(E39)-LEN(SUBSTITUTE(E39,".","")))/LEN(".")=1,"p","")</f>
        <v/>
      </c>
      <c r="L39" s="1676"/>
      <c r="M39" s="1676"/>
      <c r="N39" s="1676"/>
      <c r="O39" s="1676"/>
      <c r="P39" s="1676"/>
      <c r="Q39" s="1676"/>
      <c r="R39" s="1676"/>
      <c r="S39" s="1676"/>
      <c r="T39" s="1676"/>
      <c r="U39" s="571"/>
      <c r="V39" s="1676"/>
      <c r="W39" s="1676"/>
      <c r="X39" s="1676"/>
      <c r="Y39" s="1676"/>
      <c r="Z39" s="1676"/>
      <c r="AA39" s="572"/>
      <c r="AB39" s="572"/>
      <c r="AC39" s="572"/>
      <c r="AD39" s="572"/>
      <c r="AE39" s="572"/>
    </row>
    <row s="3293" customFormat="1" customHeight="1" ht="15">
      <c r="A40" s="2210"/>
      <c r="C40" s="1676"/>
      <c r="D40" s="1673"/>
      <c r="E40" s="576"/>
      <c r="F40" s="577" t="s">
        <v>556</v>
      </c>
      <c r="G40" s="578"/>
      <c r="H40" s="579"/>
      <c r="I40" s="579"/>
      <c r="J40" s="289"/>
      <c r="K40" s="1676" t="str">
        <f>IF((LEN(E40)-LEN(SUBSTITUTE(E40,".","")))/LEN(".")=1,"p","")</f>
        <v/>
      </c>
      <c r="L40" s="1676"/>
      <c r="M40" s="1676"/>
      <c r="R40" s="1676"/>
      <c r="U40" s="550"/>
      <c r="AA40" s="1672"/>
      <c r="AB40" s="1672"/>
      <c r="AC40" s="1672"/>
      <c r="AD40" s="1672"/>
      <c r="AE40" s="1672"/>
    </row>
    <row customHeight="1" ht="11.25" hidden="1">
      <c r="A41" s="2210" t="s">
        <v>557</v>
      </c>
      <c r="D41" s="1678"/>
      <c r="E41" s="552" t="str">
        <f>FHD_NUM_P_5</f>
        <v/>
      </c>
      <c r="F41" s="1554" t="str">
        <f>FHD_P_5</f>
        <v/>
      </c>
      <c r="G41" s="1921" t="s">
        <v>539</v>
      </c>
      <c r="H41" s="563"/>
      <c r="I41" s="563"/>
      <c r="J41" s="277" t="str">
        <f>FHD_NOTE_P_5</f>
        <v/>
      </c>
      <c r="K41" s="1676" t="str">
        <f>IF((LEN(E41)-LEN(SUBSTITUTE(E41,".","")))/LEN(".")=1,"p","")</f>
        <v/>
      </c>
    </row>
    <row customHeight="1" ht="11.25" hidden="1">
      <c r="A42" s="2210"/>
      <c r="D42" s="1678"/>
      <c r="E42" s="552" t="str">
        <f>FHD_NUM_P_6</f>
        <v/>
      </c>
      <c r="F42" s="1554" t="str">
        <f>FHD_P_6</f>
        <v/>
      </c>
      <c r="G42" s="1921" t="s">
        <v>539</v>
      </c>
      <c r="H42" s="563"/>
      <c r="I42" s="563"/>
      <c r="J42" s="277" t="str">
        <f>FHD_NOTE_P_6</f>
        <v/>
      </c>
      <c r="K42" s="1676" t="str">
        <f>IF((LEN(E42)-LEN(SUBSTITUTE(E42,".","")))/LEN(".")=1,"p","")</f>
        <v/>
      </c>
    </row>
    <row customHeight="1" ht="11.25" hidden="1">
      <c r="A43" s="2210"/>
      <c r="D43" s="1678"/>
      <c r="E43" s="552" t="str">
        <f>FHD_NUM_P_7</f>
        <v/>
      </c>
      <c r="F43" s="1554" t="str">
        <f>FHD_P_7</f>
        <v/>
      </c>
      <c r="G43" s="1921" t="s">
        <v>539</v>
      </c>
      <c r="H43" s="563"/>
      <c r="I43" s="563"/>
      <c r="J43" s="277" t="str">
        <f>FHD_NOTE_P_7</f>
        <v/>
      </c>
      <c r="K43" s="1676" t="str">
        <f>IF((LEN(E43)-LEN(SUBSTITUTE(E43,".","")))/LEN(".")=1,"p","")</f>
        <v/>
      </c>
    </row>
    <row customHeight="1" ht="11.25">
      <c r="D44" s="1678"/>
      <c r="E44" s="552" t="str">
        <f>FHD_NUM_P_8</f>
        <v>2.3</v>
      </c>
      <c r="F44" s="1554" t="str">
        <f>FHD_P_8</f>
        <v>Расходы на приобретаемую электрическую энергию (мощность), используемую в технологическом процессе</v>
      </c>
      <c r="G44" s="1921" t="s">
        <v>539</v>
      </c>
      <c r="H44" s="563"/>
      <c r="I44" s="563"/>
      <c r="J44" s="277" t="str">
        <f>FHD_NOTE_P_8</f>
        <v/>
      </c>
      <c r="K44" s="1676" t="str">
        <f>IF((LEN(E44)-LEN(SUBSTITUTE(E44,".","")))/LEN(".")=1,"p","")</f>
        <v>p</v>
      </c>
    </row>
    <row customHeight="1" ht="11.25">
      <c r="D45" s="1678"/>
      <c r="E45" s="552" t="str">
        <f>FHD_NUM_P_9</f>
        <v>2.3.1</v>
      </c>
      <c r="F45" s="1690" t="str">
        <f>FHD_P_9</f>
        <v>Средневзвешенная стоимость 1 кВт.ч (с учетом мощности)</v>
      </c>
      <c r="G45" s="1921" t="s">
        <v>558</v>
      </c>
      <c r="H45" s="563"/>
      <c r="I45" s="563"/>
      <c r="J45" s="277" t="str">
        <f>FHD_NOTE_P_9</f>
        <v/>
      </c>
      <c r="K45" s="1676" t="str">
        <f>IF((LEN(E45)-LEN(SUBSTITUTE(E45,".","")))/LEN(".")=1,"p","")</f>
        <v/>
      </c>
    </row>
    <row s="3293" customFormat="1" customHeight="1" ht="11.25">
      <c r="A46" s="994"/>
      <c r="C46" s="1676"/>
      <c r="D46" s="580"/>
      <c r="E46" s="552" t="str">
        <f>FHD_NUM_P_10</f>
        <v>2.3.2</v>
      </c>
      <c r="F46" s="1690" t="str">
        <f>FHD_P_10</f>
        <v>Объём приобретения электрической энергии</v>
      </c>
      <c r="G46" s="1921" t="s">
        <v>559</v>
      </c>
      <c r="H46" s="563"/>
      <c r="I46" s="563"/>
      <c r="J46" s="277" t="str">
        <f>FHD_NOTE_P_10</f>
        <v/>
      </c>
      <c r="K46" s="1676" t="str">
        <f>IF((LEN(E46)-LEN(SUBSTITUTE(E46,".","")))/LEN(".")=1,"p","")</f>
        <v/>
      </c>
      <c r="L46" s="1676"/>
      <c r="M46" s="1676"/>
      <c r="R46" s="1676"/>
      <c r="U46" s="550"/>
      <c r="AA46" s="1672"/>
      <c r="AB46" s="1672"/>
      <c r="AC46" s="1672"/>
      <c r="AD46" s="1672"/>
      <c r="AE46" s="1672"/>
    </row>
    <row s="3293" customFormat="1" customHeight="1" ht="11.25">
      <c r="A47" s="996" t="s">
        <v>560</v>
      </c>
      <c r="C47" s="1676"/>
      <c r="D47" s="581"/>
      <c r="E47" s="552" t="str">
        <f>FHD_NUM_P_11</f>
        <v>2.4</v>
      </c>
      <c r="F47" s="1554" t="str">
        <f>FHD_P_11</f>
        <v>Расходы на приобретение холодной воды, используемой в технологическом процессе</v>
      </c>
      <c r="G47" s="1921" t="s">
        <v>539</v>
      </c>
      <c r="H47" s="563"/>
      <c r="I47" s="563"/>
      <c r="J47" s="277" t="str">
        <f>FHD_NOTE_P_11</f>
        <v/>
      </c>
      <c r="K47" s="1676" t="str">
        <f>IF((LEN(E47)-LEN(SUBSTITUTE(E47,".","")))/LEN(".")=1,"p","")</f>
        <v>p</v>
      </c>
      <c r="L47" s="1676"/>
      <c r="M47" s="1676"/>
      <c r="R47" s="1676"/>
      <c r="U47" s="550"/>
      <c r="AA47" s="1672"/>
      <c r="AB47" s="1672"/>
      <c r="AC47" s="1672"/>
      <c r="AD47" s="1672"/>
      <c r="AE47" s="1672"/>
    </row>
    <row s="3293" customFormat="1" customHeight="1" ht="18">
      <c r="A48" s="996" t="s">
        <v>561</v>
      </c>
      <c r="C48" s="1676"/>
      <c r="D48" s="1678"/>
      <c r="E48" s="552" t="str">
        <f>FHD_NUM_P_12</f>
        <v>2.5</v>
      </c>
      <c r="F48" s="1554" t="str">
        <f>FHD_P_12</f>
        <v>Расходы на химические реагенты, используемые в технологическом процессе</v>
      </c>
      <c r="G48" s="1921" t="s">
        <v>539</v>
      </c>
      <c r="H48" s="583"/>
      <c r="I48" s="583"/>
      <c r="J48" s="277" t="str">
        <f>FHD_NOTE_P_12</f>
        <v/>
      </c>
      <c r="K48" s="1676" t="str">
        <f>IF((LEN(E48)-LEN(SUBSTITUTE(E48,".","")))/LEN(".")=1,"p","")</f>
        <v>p</v>
      </c>
      <c r="L48" s="1676"/>
      <c r="M48" s="1676"/>
      <c r="R48" s="1676"/>
      <c r="U48" s="550"/>
      <c r="AA48" s="1672"/>
      <c r="AB48" s="1672"/>
      <c r="AC48" s="1672"/>
      <c r="AD48" s="1672"/>
      <c r="AE48" s="1672"/>
    </row>
    <row s="3298" customFormat="1" customHeight="1" ht="11.25">
      <c r="A49" s="995"/>
      <c r="C49" s="736"/>
      <c r="D49" s="679"/>
      <c r="E49" s="552" t="str">
        <f>FHD_NUM_P_13</f>
        <v>2.6</v>
      </c>
      <c r="F49" s="155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921" t="s">
        <v>539</v>
      </c>
      <c r="H49" s="563"/>
      <c r="I49" s="563"/>
      <c r="J49" s="277" t="str">
        <f>FHD_NOTE_P_13</f>
        <v/>
      </c>
      <c r="K49" s="1676" t="str">
        <f>IF((LEN(E49)-LEN(SUBSTITUTE(E49,".","")))/LEN(".")=1,"p","")</f>
        <v>p</v>
      </c>
      <c r="L49" s="736"/>
      <c r="M49" s="736"/>
      <c r="R49" s="736"/>
      <c r="U49" s="737"/>
      <c r="AA49" s="738"/>
      <c r="AB49" s="738"/>
      <c r="AC49" s="738"/>
      <c r="AD49" s="738"/>
      <c r="AE49" s="738"/>
    </row>
    <row s="3298" customFormat="1" customHeight="1" ht="11.25">
      <c r="A50" s="995"/>
      <c r="C50" s="736"/>
      <c r="D50" s="679"/>
      <c r="E50" s="552" t="str">
        <f>FHD_NUM_P_14</f>
        <v>2.6.1</v>
      </c>
      <c r="F50" s="1690" t="str">
        <f>FHD_P_14</f>
        <v>Расходы на оплату труда основного производственного персонала</v>
      </c>
      <c r="G50" s="1921" t="s">
        <v>539</v>
      </c>
      <c r="H50" s="563"/>
      <c r="I50" s="563"/>
      <c r="J50" s="277" t="str">
        <f>FHD_NOTE_P_14</f>
        <v/>
      </c>
      <c r="K50" s="1676" t="str">
        <f>IF((LEN(E50)-LEN(SUBSTITUTE(E50,".","")))/LEN(".")=1,"p","")</f>
        <v/>
      </c>
      <c r="L50" s="736"/>
      <c r="M50" s="736"/>
      <c r="R50" s="736"/>
      <c r="U50" s="737"/>
      <c r="AA50" s="738"/>
      <c r="AB50" s="738"/>
      <c r="AC50" s="738"/>
      <c r="AD50" s="738"/>
      <c r="AE50" s="738"/>
    </row>
    <row s="3298" customFormat="1" customHeight="1" ht="11.25">
      <c r="A51" s="995"/>
      <c r="C51" s="736"/>
      <c r="D51" s="679"/>
      <c r="E51" s="552" t="str">
        <f>FHD_NUM_P_15</f>
        <v>2.6.2</v>
      </c>
      <c r="F51" s="1690" t="str">
        <f>FHD_P_15</f>
        <v>Страховые взносы на обязательное социальное страхование, выплачиваемые из фонда оплаты труда основного производственного персонала</v>
      </c>
      <c r="G51" s="1921" t="s">
        <v>539</v>
      </c>
      <c r="H51" s="563"/>
      <c r="I51" s="563"/>
      <c r="J51" s="277" t="str">
        <f>FHD_NOTE_P_15</f>
        <v/>
      </c>
      <c r="K51" s="1676" t="str">
        <f>IF((LEN(E51)-LEN(SUBSTITUTE(E51,".","")))/LEN(".")=1,"p","")</f>
        <v/>
      </c>
      <c r="L51" s="736"/>
      <c r="M51" s="736"/>
      <c r="R51" s="736"/>
      <c r="U51" s="737"/>
      <c r="AA51" s="738"/>
      <c r="AB51" s="738"/>
      <c r="AC51" s="738"/>
      <c r="AD51" s="738"/>
      <c r="AE51" s="738"/>
    </row>
    <row s="3293" customFormat="1" customHeight="1" ht="11.25">
      <c r="A52" s="994"/>
      <c r="C52" s="1676"/>
      <c r="D52" s="1678"/>
      <c r="E52" s="552" t="str">
        <f>FHD_NUM_P_16</f>
        <v>2.7</v>
      </c>
      <c r="F52" s="155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921" t="s">
        <v>539</v>
      </c>
      <c r="H52" s="563"/>
      <c r="I52" s="563"/>
      <c r="J52" s="277" t="str">
        <f>FHD_NOTE_P_16</f>
        <v/>
      </c>
      <c r="K52" s="1676" t="str">
        <f>IF((LEN(E52)-LEN(SUBSTITUTE(E52,".","")))/LEN(".")=1,"p","")</f>
        <v>p</v>
      </c>
      <c r="L52" s="1676"/>
      <c r="M52" s="1682"/>
      <c r="N52" s="543"/>
      <c r="O52" s="543"/>
      <c r="R52" s="1676"/>
      <c r="U52" s="550"/>
      <c r="AA52" s="1672"/>
      <c r="AB52" s="1672"/>
      <c r="AC52" s="1672"/>
      <c r="AD52" s="1672"/>
      <c r="AE52" s="1672"/>
    </row>
    <row s="3293" customFormat="1" customHeight="1" ht="11.25">
      <c r="A53" s="994"/>
      <c r="C53" s="1676"/>
      <c r="D53" s="1678"/>
      <c r="E53" s="552" t="str">
        <f>FHD_NUM_P_17</f>
        <v>2.7.1</v>
      </c>
      <c r="F53" s="1690" t="str">
        <f>FHD_P_17</f>
        <v>Расходы на оплату труда административно-управленческого персонала</v>
      </c>
      <c r="G53" s="1921" t="s">
        <v>539</v>
      </c>
      <c r="H53" s="563"/>
      <c r="I53" s="563"/>
      <c r="J53" s="277" t="str">
        <f>FHD_NOTE_P_17</f>
        <v/>
      </c>
      <c r="K53" s="1676" t="str">
        <f>IF((LEN(E53)-LEN(SUBSTITUTE(E53,".","")))/LEN(".")=1,"p","")</f>
        <v/>
      </c>
      <c r="L53" s="1676"/>
      <c r="M53" s="1682"/>
      <c r="N53" s="543"/>
      <c r="O53" s="543"/>
      <c r="R53" s="1676"/>
      <c r="U53" s="550"/>
      <c r="AA53" s="1672"/>
      <c r="AB53" s="1672"/>
      <c r="AC53" s="1672"/>
      <c r="AD53" s="1672"/>
      <c r="AE53" s="1672"/>
    </row>
    <row s="3293" customFormat="1" customHeight="1" ht="11.25">
      <c r="A54" s="994"/>
      <c r="C54" s="1676"/>
      <c r="D54" s="1678"/>
      <c r="E54" s="552" t="str">
        <f>FHD_NUM_P_18</f>
        <v>2.7.2</v>
      </c>
      <c r="F54" s="169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921" t="s">
        <v>539</v>
      </c>
      <c r="H54" s="563"/>
      <c r="I54" s="563"/>
      <c r="J54" s="277" t="str">
        <f>FHD_NOTE_P_18</f>
        <v/>
      </c>
      <c r="K54" s="1676" t="str">
        <f>IF((LEN(E54)-LEN(SUBSTITUTE(E54,".","")))/LEN(".")=1,"p","")</f>
        <v/>
      </c>
      <c r="L54" s="1676"/>
      <c r="M54" s="1682"/>
      <c r="N54" s="543"/>
      <c r="O54" s="543"/>
      <c r="R54" s="1676"/>
      <c r="U54" s="550"/>
      <c r="AA54" s="1672"/>
      <c r="AB54" s="1672"/>
      <c r="AC54" s="1672"/>
      <c r="AD54" s="1672"/>
      <c r="AE54" s="1672"/>
    </row>
    <row s="3293" customFormat="1" customHeight="1" ht="11.25">
      <c r="A55" s="994"/>
      <c r="C55" s="1676"/>
      <c r="D55" s="581"/>
      <c r="E55" s="552" t="str">
        <f>FHD_NUM_P_19</f>
        <v>2.8</v>
      </c>
      <c r="F55" s="1554" t="str">
        <f>FHD_P_19</f>
        <v>Расходы на амортизацию основных средств и нематериальных активов</v>
      </c>
      <c r="G55" s="1921" t="s">
        <v>539</v>
      </c>
      <c r="H55" s="563"/>
      <c r="I55" s="563"/>
      <c r="J55" s="277" t="str">
        <f>FHD_NOTE_P_19</f>
        <v/>
      </c>
      <c r="K55" s="1676" t="str">
        <f>IF((LEN(E55)-LEN(SUBSTITUTE(E55,".","")))/LEN(".")=1,"p","")</f>
        <v>p</v>
      </c>
      <c r="L55" s="1676"/>
      <c r="M55" s="1676"/>
      <c r="R55" s="1676"/>
      <c r="U55" s="550"/>
      <c r="AA55" s="1672"/>
      <c r="AB55" s="1672"/>
      <c r="AC55" s="1672"/>
      <c r="AD55" s="1672"/>
      <c r="AE55" s="1672"/>
    </row>
    <row s="3293" customFormat="1" customHeight="1" ht="11.25">
      <c r="A56" s="994"/>
      <c r="C56" s="1676"/>
      <c r="D56" s="581"/>
      <c r="E56" s="552" t="str">
        <f>FHD_NUM_P_20</f>
        <v>2.8.1</v>
      </c>
      <c r="F56" s="1690" t="str">
        <f>FHD_P_20</f>
        <v>Расходы на амортизацию основных средств</v>
      </c>
      <c r="G56" s="1921" t="s">
        <v>539</v>
      </c>
      <c r="H56" s="563"/>
      <c r="I56" s="563"/>
      <c r="J56" s="277" t="str">
        <f>FHD_NOTE_P_20</f>
        <v/>
      </c>
      <c r="K56" s="1676" t="str">
        <f>IF((LEN(E56)-LEN(SUBSTITUTE(E56,".","")))/LEN(".")=1,"p","")</f>
        <v/>
      </c>
      <c r="L56" s="1676"/>
      <c r="M56" s="1676"/>
      <c r="R56" s="1676"/>
      <c r="U56" s="550"/>
      <c r="AA56" s="1672"/>
      <c r="AB56" s="1672"/>
      <c r="AC56" s="1672"/>
      <c r="AD56" s="1672"/>
      <c r="AE56" s="1672"/>
    </row>
    <row s="3293" customFormat="1" customHeight="1" ht="11.25">
      <c r="A57" s="994"/>
      <c r="C57" s="1676"/>
      <c r="D57" s="581"/>
      <c r="E57" s="552" t="str">
        <f>FHD_NUM_P_21</f>
        <v>2.8.2</v>
      </c>
      <c r="F57" s="1690" t="str">
        <f>FHD_P_21</f>
        <v>Расходы на амортизацию нематериальных активов</v>
      </c>
      <c r="G57" s="1921" t="s">
        <v>539</v>
      </c>
      <c r="H57" s="563"/>
      <c r="I57" s="563"/>
      <c r="J57" s="277" t="str">
        <f>FHD_NOTE_P_21</f>
        <v/>
      </c>
      <c r="K57" s="1676" t="str">
        <f>IF((LEN(E57)-LEN(SUBSTITUTE(E57,".","")))/LEN(".")=1,"p","")</f>
        <v/>
      </c>
      <c r="L57" s="1676"/>
      <c r="M57" s="1676"/>
      <c r="R57" s="1676"/>
      <c r="U57" s="550"/>
      <c r="AA57" s="1672"/>
      <c r="AB57" s="1672"/>
      <c r="AC57" s="1672"/>
      <c r="AD57" s="1672"/>
      <c r="AE57" s="1672"/>
    </row>
    <row s="3293" customFormat="1" customHeight="1" ht="11.25">
      <c r="A58" s="994"/>
      <c r="C58" s="1676"/>
      <c r="D58" s="1678"/>
      <c r="E58" s="552" t="str">
        <f>FHD_NUM_P_22</f>
        <v>2.9</v>
      </c>
      <c r="F58" s="1554" t="str">
        <f>FHD_P_22</f>
        <v>Расходы на аренду имущества, используемого для осуществления регулируемого вида деятельности</v>
      </c>
      <c r="G58" s="1921" t="s">
        <v>539</v>
      </c>
      <c r="H58" s="563"/>
      <c r="I58" s="563"/>
      <c r="J58" s="277" t="str">
        <f>FHD_NOTE_P_22</f>
        <v/>
      </c>
      <c r="K58" s="1676" t="str">
        <f>IF((LEN(E58)-LEN(SUBSTITUTE(E58,".","")))/LEN(".")=1,"p","")</f>
        <v>p</v>
      </c>
      <c r="L58" s="1676"/>
      <c r="M58" s="1676"/>
      <c r="R58" s="1676"/>
      <c r="U58" s="550"/>
      <c r="AA58" s="1672"/>
      <c r="AB58" s="1672"/>
      <c r="AC58" s="1672"/>
      <c r="AD58" s="1672"/>
      <c r="AE58" s="1672"/>
    </row>
    <row s="3293" customFormat="1" customHeight="1" ht="11.25">
      <c r="A59" s="994"/>
      <c r="C59" s="1676"/>
      <c r="D59" s="581"/>
      <c r="E59" s="552" t="str">
        <f>FHD_NUM_P_23</f>
        <v>2.10</v>
      </c>
      <c r="F59" s="1554" t="str">
        <f>FHD_P_23</f>
        <v>Общепроизводственные расходы, в том числе:</v>
      </c>
      <c r="G59" s="1921" t="s">
        <v>539</v>
      </c>
      <c r="H59" s="563"/>
      <c r="I59" s="563"/>
      <c r="J59" s="277" t="str">
        <f>FHD_NOTE_P_23</f>
        <v>Указывается общая сумма общепроизводственных расходов.</v>
      </c>
      <c r="K59" s="1676" t="str">
        <f>IF((LEN(E59)-LEN(SUBSTITUTE(E59,".","")))/LEN(".")=1,"p","")</f>
        <v>p</v>
      </c>
      <c r="L59" s="1676"/>
      <c r="M59" s="1676"/>
      <c r="R59" s="1676"/>
      <c r="U59" s="550"/>
      <c r="AA59" s="1672"/>
      <c r="AB59" s="1672"/>
      <c r="AC59" s="1672"/>
      <c r="AD59" s="1672"/>
      <c r="AE59" s="1672"/>
    </row>
    <row s="3293" customFormat="1" customHeight="1" ht="11.25">
      <c r="A60" s="994"/>
      <c r="C60" s="1676"/>
      <c r="D60" s="581"/>
      <c r="E60" s="552" t="str">
        <f>FHD_NUM_P_24</f>
        <v>2.10.1</v>
      </c>
      <c r="F60" s="1690" t="str">
        <f>FHD_P_24</f>
        <v>Расходы на текущий ремонт</v>
      </c>
      <c r="G60" s="1921" t="s">
        <v>539</v>
      </c>
      <c r="H60" s="563"/>
      <c r="I60" s="563"/>
      <c r="J60" s="277" t="str">
        <f>FHD_NOTE_P_24</f>
        <v>Указываются расходы на текущий ремонт, отнесенные к общепроизводственным расходам.</v>
      </c>
      <c r="K60" s="1676" t="str">
        <f>IF((LEN(E60)-LEN(SUBSTITUTE(E60,".","")))/LEN(".")=1,"p","")</f>
        <v/>
      </c>
      <c r="L60" s="1676"/>
      <c r="M60" s="1676"/>
      <c r="R60" s="1676"/>
      <c r="U60" s="550"/>
      <c r="AA60" s="1672"/>
      <c r="AB60" s="1672"/>
      <c r="AC60" s="1672"/>
      <c r="AD60" s="1672"/>
      <c r="AE60" s="1672"/>
    </row>
    <row s="3293" customFormat="1" customHeight="1" ht="11.25">
      <c r="A61" s="994"/>
      <c r="C61" s="1676"/>
      <c r="D61" s="581"/>
      <c r="E61" s="552" t="str">
        <f>FHD_NUM_P_25</f>
        <v>2.10.2</v>
      </c>
      <c r="F61" s="1690" t="str">
        <f>FHD_P_25</f>
        <v>Расходы на капитальный ремонт</v>
      </c>
      <c r="G61" s="1921" t="s">
        <v>539</v>
      </c>
      <c r="H61" s="563"/>
      <c r="I61" s="563"/>
      <c r="J61" s="277" t="str">
        <f>FHD_NOTE_P_25</f>
        <v>Указываются расходы на капитальный ремонт, отнесенные к общепроизводственным расходам.</v>
      </c>
      <c r="K61" s="1676" t="str">
        <f>IF((LEN(E61)-LEN(SUBSTITUTE(E61,".","")))/LEN(".")=1,"p","")</f>
        <v/>
      </c>
      <c r="L61" s="1676"/>
      <c r="M61" s="1676"/>
      <c r="R61" s="1676"/>
      <c r="U61" s="550"/>
      <c r="AA61" s="1672"/>
      <c r="AB61" s="1672"/>
      <c r="AC61" s="1672"/>
      <c r="AD61" s="1672"/>
      <c r="AE61" s="1672"/>
    </row>
    <row s="3293" customFormat="1" customHeight="1" ht="11.25">
      <c r="A62" s="994"/>
      <c r="C62" s="1676"/>
      <c r="D62" s="1678"/>
      <c r="E62" s="552" t="str">
        <f>FHD_NUM_P_26</f>
        <v>2.11</v>
      </c>
      <c r="F62" s="1554" t="str">
        <f>FHD_P_26</f>
        <v>Общехозяйственные расходы, в том числе:</v>
      </c>
      <c r="G62" s="1921" t="s">
        <v>539</v>
      </c>
      <c r="H62" s="563"/>
      <c r="I62" s="563"/>
      <c r="J62" s="277" t="str">
        <f>FHD_NOTE_P_26</f>
        <v>Указывается общая сумма общехозяйственных расходов.</v>
      </c>
      <c r="K62" s="1676" t="str">
        <f>IF((LEN(E62)-LEN(SUBSTITUTE(E62,".","")))/LEN(".")=1,"p","")</f>
        <v>p</v>
      </c>
      <c r="L62" s="1676"/>
      <c r="M62" s="1676"/>
      <c r="R62" s="1676"/>
      <c r="U62" s="550"/>
      <c r="AA62" s="1672"/>
      <c r="AB62" s="1672"/>
      <c r="AC62" s="1672"/>
      <c r="AD62" s="1672"/>
      <c r="AE62" s="1672"/>
    </row>
    <row s="3293" customFormat="1" customHeight="1" ht="11.25">
      <c r="A63" s="994"/>
      <c r="C63" s="1676"/>
      <c r="D63" s="1678"/>
      <c r="E63" s="552" t="str">
        <f>FHD_NUM_P_27</f>
        <v>2.11.1</v>
      </c>
      <c r="F63" s="1690" t="str">
        <f>FHD_P_27</f>
        <v>Расходы на текущий ремонт</v>
      </c>
      <c r="G63" s="1921" t="s">
        <v>539</v>
      </c>
      <c r="H63" s="563"/>
      <c r="I63" s="563"/>
      <c r="J63" s="277" t="str">
        <f>FHD_NOTE_P_27</f>
        <v>Указываются расходы на текущий ремонт, отнесенные к общехозяйственным расходам.</v>
      </c>
      <c r="K63" s="1676" t="str">
        <f>IF((LEN(E63)-LEN(SUBSTITUTE(E63,".","")))/LEN(".")=1,"p","")</f>
        <v/>
      </c>
      <c r="L63" s="1676"/>
      <c r="M63" s="1676"/>
      <c r="R63" s="1676"/>
      <c r="U63" s="550"/>
      <c r="AA63" s="1672"/>
      <c r="AB63" s="1672"/>
      <c r="AC63" s="1672"/>
      <c r="AD63" s="1672"/>
      <c r="AE63" s="1672"/>
    </row>
    <row s="3293" customFormat="1" customHeight="1" ht="11.25">
      <c r="A64" s="994"/>
      <c r="C64" s="1676"/>
      <c r="D64" s="1678"/>
      <c r="E64" s="552" t="str">
        <f>FHD_NUM_P_28</f>
        <v>2.11.2</v>
      </c>
      <c r="F64" s="1690" t="str">
        <f>FHD_P_28</f>
        <v>Расходы на капитальный ремонт</v>
      </c>
      <c r="G64" s="1921" t="s">
        <v>539</v>
      </c>
      <c r="H64" s="563"/>
      <c r="I64" s="563"/>
      <c r="J64" s="277" t="str">
        <f>FHD_NOTE_P_28</f>
        <v>Указываются расходы на капитальный ремонт, отнесенные к общехозяйственным расходам.</v>
      </c>
      <c r="K64" s="1676" t="str">
        <f>IF((LEN(E64)-LEN(SUBSTITUTE(E64,".","")))/LEN(".")=1,"p","")</f>
        <v/>
      </c>
      <c r="L64" s="1676"/>
      <c r="M64" s="1676"/>
      <c r="R64" s="1676"/>
      <c r="U64" s="550"/>
      <c r="AA64" s="1672"/>
      <c r="AB64" s="1672"/>
      <c r="AC64" s="1672"/>
      <c r="AD64" s="1672"/>
      <c r="AE64" s="1672"/>
    </row>
    <row s="3293" customFormat="1" customHeight="1" ht="11.25">
      <c r="A65" s="994"/>
      <c r="C65" s="1676"/>
      <c r="D65" s="1678"/>
      <c r="E65" s="552" t="str">
        <f>FHD_NUM_P_29</f>
        <v>2.12</v>
      </c>
      <c r="F65" s="1554" t="str">
        <f>FHD_P_29</f>
        <v>Расходы на капитальный и текущий ремонт основных средств</v>
      </c>
      <c r="G65" s="1921" t="s">
        <v>539</v>
      </c>
      <c r="H65" s="563"/>
      <c r="I65" s="563"/>
      <c r="J65" s="277"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76" t="str">
        <f>IF((LEN(E65)-LEN(SUBSTITUTE(E65,".","")))/LEN(".")=1,"p","")</f>
        <v>p</v>
      </c>
      <c r="L65" s="1676"/>
      <c r="M65" s="1676"/>
      <c r="R65" s="1676"/>
      <c r="U65" s="550"/>
      <c r="AA65" s="1672"/>
      <c r="AB65" s="1672"/>
      <c r="AC65" s="1672"/>
      <c r="AD65" s="1672"/>
      <c r="AE65" s="1672"/>
    </row>
    <row s="3293" customFormat="1" customHeight="1" ht="11.25">
      <c r="A66" s="994"/>
      <c r="C66" s="1676"/>
      <c r="D66" s="1678"/>
      <c r="E66" s="552" t="str">
        <f>FHD_NUM_P_30</f>
        <v>2.12.1</v>
      </c>
      <c r="F66" s="169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921" t="s">
        <v>297</v>
      </c>
      <c r="H66" s="1689" t="s">
        <v>562</v>
      </c>
      <c r="I66" s="1689" t="s">
        <v>562</v>
      </c>
      <c r="J66" s="277" t="str">
        <f>FHD_NOTE_P_30</f>
        <v/>
      </c>
      <c r="K66" s="1676" t="str">
        <f>IF((LEN(E66)-LEN(SUBSTITUTE(E66,".","")))/LEN(".")=1,"p","")</f>
        <v/>
      </c>
      <c r="L66" s="1676">
        <f>_xlfn.IFERROR(MATCH("есть",B_FHD_FLAG_INDEX_1,0),0)</f>
        <v>0</v>
      </c>
      <c r="M66" s="1676"/>
      <c r="R66" s="1676"/>
      <c r="U66" s="550"/>
      <c r="AA66" s="1672"/>
      <c r="AB66" s="1672"/>
      <c r="AC66" s="1672"/>
      <c r="AD66" s="1672"/>
      <c r="AE66" s="1672"/>
    </row>
    <row s="3293" customFormat="1" customHeight="1" ht="22.5" hidden="1">
      <c r="A67" s="2210" t="s">
        <v>563</v>
      </c>
      <c r="C67" s="1676"/>
      <c r="D67" s="1678"/>
      <c r="E67" s="552" t="str">
        <f>FHD_NUM_P_31</f>
        <v/>
      </c>
      <c r="F67" s="1554" t="str">
        <f>FHD_P_31</f>
        <v/>
      </c>
      <c r="G67" s="1921" t="s">
        <v>539</v>
      </c>
      <c r="H67" s="563"/>
      <c r="I67" s="563"/>
      <c r="J67" s="277" t="str">
        <f>FHD_NOTE_P_31</f>
        <v/>
      </c>
      <c r="K67" s="1676" t="str">
        <f>IF((LEN(E67)-LEN(SUBSTITUTE(E67,".","")))/LEN(".")=1,"p","")</f>
        <v/>
      </c>
      <c r="L67" s="1676"/>
      <c r="M67" s="1676"/>
      <c r="R67" s="1676"/>
      <c r="U67" s="550"/>
      <c r="AA67" s="1672"/>
      <c r="AB67" s="1672"/>
      <c r="AC67" s="1672"/>
      <c r="AD67" s="1672"/>
      <c r="AE67" s="1672"/>
    </row>
    <row s="3293" customFormat="1" customHeight="1" ht="45" hidden="1">
      <c r="A68" s="2210"/>
      <c r="C68" s="1676"/>
      <c r="D68" s="1678"/>
      <c r="E68" s="552" t="str">
        <f>FHD_NUM_P_32</f>
        <v/>
      </c>
      <c r="F68" s="1690" t="str">
        <f>FHD_P_32</f>
        <v/>
      </c>
      <c r="G68" s="1921" t="s">
        <v>297</v>
      </c>
      <c r="H68" s="1689" t="s">
        <v>562</v>
      </c>
      <c r="I68" s="1689" t="s">
        <v>562</v>
      </c>
      <c r="J68" s="277" t="str">
        <f>FHD_NOTE_P_32</f>
        <v/>
      </c>
      <c r="K68" s="1676" t="str">
        <f>IF((LEN(E68)-LEN(SUBSTITUTE(E68,".","")))/LEN(".")=1,"p","")</f>
        <v/>
      </c>
      <c r="L68" s="1676">
        <f>_xlfn.IFERROR(MATCH("есть",B_FHD_FLAG_INDEX_2,0),0)</f>
        <v>0</v>
      </c>
      <c r="M68" s="1676"/>
      <c r="R68" s="1676"/>
      <c r="U68" s="550"/>
      <c r="AA68" s="1672"/>
      <c r="AB68" s="1672"/>
      <c r="AC68" s="1672"/>
      <c r="AD68" s="1672"/>
      <c r="AE68" s="1672"/>
    </row>
    <row s="3293" customFormat="1" customHeight="1" ht="11.25">
      <c r="A69" s="994"/>
      <c r="C69" s="1676"/>
      <c r="D69" s="1678"/>
      <c r="E69" s="552" t="str">
        <f>FHD_NUM_P_33</f>
        <v>2.13</v>
      </c>
      <c r="F69" s="1554" t="str">
        <f>FHD_P_33</f>
        <v>Прочие расходы, которые подлежат отнесению на регулируемые виды деятельности в соответствии с законодательством Российской Федерации</v>
      </c>
      <c r="G69" s="1922" t="s">
        <v>539</v>
      </c>
      <c r="H69" s="585">
        <f>SUM(H70:H71)</f>
        <v>0</v>
      </c>
      <c r="I69" s="585">
        <f>SUM(I70:I71)</f>
        <v>0</v>
      </c>
      <c r="J69" s="277"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76" t="str">
        <f>IF((LEN(E69)-LEN(SUBSTITUTE(E69,".","")))/LEN(".")=1,"p","")</f>
        <v>p</v>
      </c>
      <c r="L69" s="1676"/>
      <c r="M69" s="1676"/>
      <c r="R69" s="1676"/>
      <c r="U69" s="550"/>
      <c r="AA69" s="1672"/>
      <c r="AB69" s="1672"/>
      <c r="AC69" s="1672"/>
      <c r="AD69" s="1672"/>
      <c r="AE69" s="1672"/>
    </row>
    <row s="4032" customFormat="1" customHeight="1" ht="0.75">
      <c r="A70" s="1175"/>
      <c r="D70" s="554"/>
      <c r="E70" s="1020" t="str">
        <f>E69&amp;".0"</f>
        <v>2.13.0</v>
      </c>
      <c r="F70" s="998"/>
      <c r="G70" s="1020"/>
      <c r="H70" s="999"/>
      <c r="I70" s="999"/>
      <c r="J70" s="1000"/>
      <c r="K70" s="1676" t="str">
        <f>IF((LEN(E70)-LEN(SUBSTITUTE(E70,".","")))/LEN(".")=1,"p","")</f>
        <v/>
      </c>
    </row>
    <row s="3293" customFormat="1" customHeight="1" ht="14.25">
      <c r="A71" s="994"/>
      <c r="C71" s="1676"/>
      <c r="D71" s="1673"/>
      <c r="E71" s="576"/>
      <c r="F71" s="577" t="s">
        <v>564</v>
      </c>
      <c r="G71" s="578"/>
      <c r="H71" s="579"/>
      <c r="I71" s="579"/>
      <c r="J71" s="289"/>
      <c r="K71" s="1676"/>
      <c r="L71" s="1676"/>
      <c r="M71" s="1676"/>
      <c r="R71" s="1676"/>
      <c r="U71" s="550"/>
      <c r="AA71" s="1672"/>
      <c r="AB71" s="1672"/>
      <c r="AC71" s="1672"/>
      <c r="AD71" s="1672"/>
      <c r="AE71" s="1672"/>
    </row>
    <row s="3293" customFormat="1" customHeight="1" ht="18.75">
      <c r="A72" s="996" t="s">
        <v>565</v>
      </c>
      <c r="C72" s="1676"/>
      <c r="D72" s="1678"/>
      <c r="E72" s="552" t="str">
        <f>FHD_NUM_P_34</f>
        <v>3</v>
      </c>
      <c r="F72" s="1923" t="str">
        <f>FHD_P_34</f>
        <v>Валовая прибыль (убытки) от реализации товаров и оказания услуг по регулируемому виду деятельности</v>
      </c>
      <c r="G72" s="1921" t="s">
        <v>539</v>
      </c>
      <c r="H72" s="563"/>
      <c r="I72" s="563"/>
      <c r="J72" s="277" t="str">
        <f>FHD_NOTE_P_34</f>
        <v/>
      </c>
      <c r="K72" s="549"/>
      <c r="L72" s="1676"/>
      <c r="M72" s="1676"/>
      <c r="R72" s="1676"/>
      <c r="U72" s="550"/>
      <c r="AA72" s="1672"/>
      <c r="AB72" s="1672"/>
      <c r="AC72" s="1672"/>
      <c r="AD72" s="1672"/>
      <c r="AE72" s="1672"/>
    </row>
    <row s="3293" customFormat="1" customHeight="1" ht="18.75">
      <c r="A73" s="994"/>
      <c r="C73" s="1676"/>
      <c r="D73" s="581"/>
      <c r="E73" s="552" t="str">
        <f>FHD_NUM_P_35</f>
        <v>4</v>
      </c>
      <c r="F73" s="1923" t="str">
        <f>FHD_P_35</f>
        <v>Чистая прибыль, полученная от регулируемого вида деятельности, в том числе:</v>
      </c>
      <c r="G73" s="1921" t="s">
        <v>539</v>
      </c>
      <c r="H73" s="563"/>
      <c r="I73" s="563"/>
      <c r="J73" s="277" t="str">
        <f>FHD_NOTE_P_35</f>
        <v>Указывается общая сумма чистой прибыли, полученной от регулируемого вида деятельности.</v>
      </c>
      <c r="K73" s="549"/>
      <c r="L73" s="1676"/>
      <c r="M73" s="1676"/>
      <c r="R73" s="1676"/>
      <c r="U73" s="550"/>
      <c r="AA73" s="1672"/>
      <c r="AB73" s="1672"/>
      <c r="AC73" s="1672"/>
      <c r="AD73" s="1672"/>
      <c r="AE73" s="1672"/>
    </row>
    <row s="3293" customFormat="1" customHeight="1" ht="18.75">
      <c r="A74" s="994"/>
      <c r="C74" s="1676"/>
      <c r="D74" s="1678"/>
      <c r="E74" s="552" t="str">
        <f>FHD_NUM_P_36</f>
        <v>4.1</v>
      </c>
      <c r="F74" s="155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921" t="s">
        <v>539</v>
      </c>
      <c r="H74" s="563"/>
      <c r="I74" s="563"/>
      <c r="J74" s="277" t="str">
        <f>FHD_NOTE_P_36</f>
        <v/>
      </c>
      <c r="K74" s="549"/>
      <c r="L74" s="1676"/>
      <c r="M74" s="1676"/>
      <c r="R74" s="1676"/>
      <c r="U74" s="550"/>
      <c r="AA74" s="1672"/>
      <c r="AB74" s="1672"/>
      <c r="AC74" s="1672"/>
      <c r="AD74" s="1672"/>
      <c r="AE74" s="1672"/>
    </row>
    <row s="3293" customFormat="1" customHeight="1" ht="18.75">
      <c r="A75" s="994"/>
      <c r="C75" s="1676"/>
      <c r="D75" s="1678"/>
      <c r="E75" s="552" t="str">
        <f>FHD_NUM_P_37</f>
        <v>5</v>
      </c>
      <c r="F75" s="1923" t="str">
        <f>FHD_P_37</f>
        <v>Изменение стоимости основных фондов, в том числе:</v>
      </c>
      <c r="G75" s="1921" t="s">
        <v>539</v>
      </c>
      <c r="H75" s="563"/>
      <c r="I75" s="563"/>
      <c r="J75" s="277" t="str">
        <f>FHD_NOTE_P_37</f>
        <v>Указывается общее изменение стоимости основных фондов.</v>
      </c>
      <c r="K75" s="549"/>
      <c r="L75" s="1676"/>
      <c r="M75" s="1676"/>
      <c r="R75" s="1676"/>
      <c r="U75" s="550"/>
      <c r="AA75" s="1672"/>
      <c r="AB75" s="1672"/>
      <c r="AC75" s="1672"/>
      <c r="AD75" s="1672"/>
      <c r="AE75" s="1672"/>
    </row>
    <row s="3293" customFormat="1" customHeight="1" ht="18.75">
      <c r="A76" s="994"/>
      <c r="C76" s="1676"/>
      <c r="D76" s="1678"/>
      <c r="E76" s="552" t="str">
        <f>FHD_NUM_P_38</f>
        <v>5.1</v>
      </c>
      <c r="F76" s="1554" t="str">
        <f>FHD_P_38</f>
        <v>Изменение стоимости основных фондов за счет:</v>
      </c>
      <c r="G76" s="1921" t="s">
        <v>539</v>
      </c>
      <c r="H76" s="563"/>
      <c r="I76" s="563"/>
      <c r="J76" s="277" t="str">
        <f>FHD_NOTE_P_38</f>
        <v>Указываются общее изменение стоимости основных фондов за счет их ввода в эксплуатацию и вывода из эксплуатации.</v>
      </c>
      <c r="K76" s="549"/>
      <c r="L76" s="1676"/>
      <c r="M76" s="1676"/>
      <c r="R76" s="1676"/>
      <c r="U76" s="550"/>
      <c r="AA76" s="1672"/>
      <c r="AB76" s="1672"/>
      <c r="AC76" s="1672"/>
      <c r="AD76" s="1672"/>
      <c r="AE76" s="1672"/>
    </row>
    <row s="3293" customFormat="1" customHeight="1" ht="18.75">
      <c r="A77" s="994"/>
      <c r="C77" s="1676"/>
      <c r="D77" s="1678"/>
      <c r="E77" s="552" t="str">
        <f>FHD_NUM_P_39</f>
        <v>5.1.1</v>
      </c>
      <c r="F77" s="1690" t="str">
        <f>FHD_P_39</f>
        <v>Изменения стоимости основных фондов за счет их ввода в эксплуатацию</v>
      </c>
      <c r="G77" s="1921" t="s">
        <v>539</v>
      </c>
      <c r="H77" s="563"/>
      <c r="I77" s="563"/>
      <c r="J77" s="277" t="str">
        <f>FHD_NOTE_P_39</f>
        <v>Указываются изменение стоимости основных фондов за счет их ввода в эксплуатацию.</v>
      </c>
      <c r="K77" s="549"/>
      <c r="L77" s="1676"/>
      <c r="M77" s="1676"/>
      <c r="R77" s="1676"/>
      <c r="U77" s="550"/>
      <c r="AA77" s="1672"/>
      <c r="AB77" s="1672"/>
      <c r="AC77" s="1672"/>
      <c r="AD77" s="1672"/>
      <c r="AE77" s="1672"/>
    </row>
    <row s="3293" customFormat="1" customHeight="1" ht="18.75">
      <c r="A78" s="994"/>
      <c r="C78" s="1676"/>
      <c r="D78" s="1678"/>
      <c r="E78" s="552" t="str">
        <f>FHD_NUM_P_40</f>
        <v>5.1.2</v>
      </c>
      <c r="F78" s="1690" t="str">
        <f>FHD_P_40</f>
        <v>Изменения стоимости основных фондов за счет их вывода в эксплуатацию</v>
      </c>
      <c r="G78" s="1921" t="s">
        <v>539</v>
      </c>
      <c r="H78" s="563"/>
      <c r="I78" s="563"/>
      <c r="J78" s="277" t="str">
        <f>FHD_NOTE_P_40</f>
        <v>Указываются изменение стоимости основных фондов за счет их вывода из эксплуатации.</v>
      </c>
      <c r="K78" s="549"/>
      <c r="L78" s="1676"/>
      <c r="M78" s="1676"/>
      <c r="R78" s="1676"/>
      <c r="U78" s="550"/>
      <c r="AA78" s="1672"/>
      <c r="AB78" s="1672"/>
      <c r="AC78" s="1672"/>
      <c r="AD78" s="1672"/>
      <c r="AE78" s="1672"/>
    </row>
    <row s="3293" customFormat="1" customHeight="1" ht="18.75">
      <c r="A79" s="994"/>
      <c r="C79" s="1676"/>
      <c r="D79" s="1678"/>
      <c r="E79" s="552" t="str">
        <f>FHD_NUM_P_41</f>
        <v>5.2</v>
      </c>
      <c r="F79" s="1554" t="str">
        <f>FHD_P_41</f>
        <v>Изменение стоимости основных фондов за счет их переоценки</v>
      </c>
      <c r="G79" s="1922" t="s">
        <v>539</v>
      </c>
      <c r="H79" s="563"/>
      <c r="I79" s="563"/>
      <c r="J79" s="277" t="str">
        <f>FHD_NOTE_P_41</f>
        <v/>
      </c>
      <c r="K79" s="549"/>
      <c r="L79" s="1676"/>
      <c r="M79" s="1676"/>
      <c r="R79" s="1676"/>
      <c r="U79" s="550"/>
      <c r="AA79" s="1672"/>
      <c r="AB79" s="1672"/>
      <c r="AC79" s="1672"/>
      <c r="AD79" s="1672"/>
      <c r="AE79" s="1672"/>
    </row>
    <row s="3293" customFormat="1" customHeight="1" ht="18.75" hidden="1">
      <c r="A80" s="996" t="s">
        <v>566</v>
      </c>
      <c r="C80" s="1676"/>
      <c r="D80" s="1678"/>
      <c r="E80" s="552" t="str">
        <f>FHD_NUM_P_42</f>
        <v/>
      </c>
      <c r="F80" s="1923" t="str">
        <f>FHD_P_42</f>
        <v/>
      </c>
      <c r="G80" s="1921" t="s">
        <v>539</v>
      </c>
      <c r="H80" s="983"/>
      <c r="I80" s="563"/>
      <c r="J80" s="277" t="str">
        <f>FHD_NOTE_P_42</f>
        <v/>
      </c>
      <c r="K80" s="549"/>
      <c r="L80" s="1676"/>
      <c r="M80" s="1676"/>
      <c r="R80" s="1676"/>
      <c r="U80" s="550"/>
      <c r="AA80" s="1672"/>
      <c r="AB80" s="1672"/>
      <c r="AC80" s="1672"/>
      <c r="AD80" s="1672"/>
      <c r="AE80" s="1672"/>
    </row>
    <row s="3293" customFormat="1" customHeight="1" ht="18.75">
      <c r="A81" s="994"/>
      <c r="C81" s="1676"/>
      <c r="D81" s="1678"/>
      <c r="E81" s="552" t="str">
        <f>FHD_NUM_P_43</f>
        <v>6</v>
      </c>
      <c r="F81" s="1923" t="str">
        <f>FHD_P_43</f>
        <v>Годовая бухгалтерская (финансовая) отчетность, включая бухгалтерский баланс и приложения к нему</v>
      </c>
      <c r="G81" s="1921" t="s">
        <v>297</v>
      </c>
      <c r="H81" s="1062"/>
      <c r="I81" s="824"/>
      <c r="J81" s="277"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9"/>
      <c r="L81" s="1676"/>
      <c r="M81" s="1676"/>
      <c r="R81" s="1676"/>
      <c r="U81" s="550"/>
      <c r="AA81" s="1672"/>
      <c r="AB81" s="1672"/>
      <c r="AC81" s="1672"/>
      <c r="AD81" s="1672"/>
      <c r="AE81" s="1672"/>
    </row>
    <row s="4103" customFormat="1" customHeight="1" ht="18.75" hidden="1">
      <c r="A82" s="2210" t="s">
        <v>567</v>
      </c>
      <c r="C82" s="741"/>
      <c r="D82" s="739"/>
      <c r="E82" s="552" t="str">
        <f>FHD_NUM_P_44</f>
        <v/>
      </c>
      <c r="F82" s="1923" t="str">
        <f>FHD_P_44</f>
        <v/>
      </c>
      <c r="G82" s="1924" t="s">
        <v>568</v>
      </c>
      <c r="H82" s="984"/>
      <c r="I82" s="583"/>
      <c r="J82" s="277" t="str">
        <f>FHD_NOTE_P_44</f>
        <v/>
      </c>
      <c r="K82" s="740"/>
      <c r="L82" s="741"/>
      <c r="M82" s="741"/>
      <c r="R82" s="741"/>
      <c r="U82" s="742"/>
      <c r="AA82" s="743"/>
      <c r="AB82" s="743"/>
      <c r="AC82" s="743"/>
      <c r="AD82" s="743"/>
      <c r="AE82" s="743"/>
    </row>
    <row s="4103" customFormat="1" customHeight="1" ht="18.75" hidden="1">
      <c r="A83" s="2210"/>
      <c r="C83" s="741"/>
      <c r="D83" s="739"/>
      <c r="E83" s="552" t="str">
        <f>FHD_NUM_P_45</f>
        <v/>
      </c>
      <c r="F83" s="1923" t="str">
        <f>FHD_P_45</f>
        <v/>
      </c>
      <c r="G83" s="1924" t="s">
        <v>568</v>
      </c>
      <c r="H83" s="984"/>
      <c r="I83" s="583"/>
      <c r="J83" s="277" t="str">
        <f>FHD_NOTE_P_45</f>
        <v/>
      </c>
      <c r="K83" s="740"/>
      <c r="L83" s="741"/>
      <c r="M83" s="741"/>
      <c r="R83" s="741"/>
      <c r="U83" s="742"/>
      <c r="AA83" s="743"/>
      <c r="AB83" s="743"/>
      <c r="AC83" s="743"/>
      <c r="AD83" s="743"/>
      <c r="AE83" s="743"/>
    </row>
    <row s="4103" customFormat="1" customHeight="1" ht="18.75" hidden="1">
      <c r="A84" s="2210"/>
      <c r="C84" s="741"/>
      <c r="D84" s="744"/>
      <c r="E84" s="552" t="str">
        <f>FHD_NUM_P_46</f>
        <v/>
      </c>
      <c r="F84" s="1923" t="str">
        <f>FHD_P_46</f>
        <v/>
      </c>
      <c r="G84" s="1924" t="s">
        <v>568</v>
      </c>
      <c r="H84" s="984"/>
      <c r="I84" s="583"/>
      <c r="J84" s="277" t="str">
        <f>FHD_NOTE_P_46</f>
        <v/>
      </c>
      <c r="K84" s="740"/>
      <c r="L84" s="741"/>
      <c r="M84" s="741"/>
      <c r="R84" s="741"/>
      <c r="U84" s="742"/>
      <c r="AA84" s="743"/>
      <c r="AB84" s="743"/>
      <c r="AC84" s="743"/>
      <c r="AD84" s="743"/>
      <c r="AE84" s="743"/>
    </row>
    <row s="4103" customFormat="1" customHeight="1" ht="18.75" hidden="1">
      <c r="A85" s="2210"/>
      <c r="C85" s="741"/>
      <c r="D85" s="739"/>
      <c r="E85" s="552" t="str">
        <f>FHD_NUM_P_47</f>
        <v/>
      </c>
      <c r="F85" s="1923" t="str">
        <f>FHD_P_47</f>
        <v/>
      </c>
      <c r="G85" s="1924" t="s">
        <v>568</v>
      </c>
      <c r="H85" s="984"/>
      <c r="I85" s="583"/>
      <c r="J85" s="277" t="str">
        <f>FHD_NOTE_P_47</f>
        <v/>
      </c>
      <c r="K85" s="740"/>
      <c r="L85" s="741"/>
      <c r="M85" s="741"/>
      <c r="R85" s="741"/>
      <c r="U85" s="742"/>
      <c r="AA85" s="743"/>
      <c r="AB85" s="743"/>
      <c r="AC85" s="743"/>
      <c r="AD85" s="743"/>
      <c r="AE85" s="743"/>
    </row>
    <row s="4112" customFormat="1" customHeight="1" ht="18.75" hidden="1">
      <c r="A86" s="2210"/>
      <c r="B86" s="916"/>
      <c r="C86" s="741"/>
      <c r="D86" s="739"/>
      <c r="E86" s="552" t="str">
        <f>FHD_NUM_P_48</f>
        <v/>
      </c>
      <c r="F86" s="1923" t="str">
        <f>FHD_P_48</f>
        <v/>
      </c>
      <c r="G86" s="1924" t="s">
        <v>568</v>
      </c>
      <c r="H86" s="984"/>
      <c r="I86" s="583"/>
      <c r="J86" s="277" t="str">
        <f>FHD_NOTE_P_48</f>
        <v/>
      </c>
      <c r="K86" s="740"/>
      <c r="L86" s="741"/>
      <c r="M86" s="741"/>
      <c r="N86" s="916"/>
      <c r="O86" s="916"/>
      <c r="P86" s="916"/>
      <c r="Q86" s="916"/>
      <c r="R86" s="741"/>
      <c r="S86" s="916"/>
      <c r="T86" s="916"/>
      <c r="U86" s="742"/>
      <c r="V86" s="916"/>
      <c r="W86" s="916"/>
      <c r="X86" s="916"/>
      <c r="Y86" s="916"/>
      <c r="Z86" s="916"/>
      <c r="AA86" s="743"/>
      <c r="AB86" s="743"/>
      <c r="AC86" s="743"/>
      <c r="AD86" s="743"/>
      <c r="AE86" s="743"/>
    </row>
    <row s="4112" customFormat="1" customHeight="1" ht="18.75" hidden="1">
      <c r="A87" s="2210"/>
      <c r="B87" s="916"/>
      <c r="C87" s="741"/>
      <c r="D87" s="739"/>
      <c r="E87" s="552" t="str">
        <f>FHD_NUM_P_49</f>
        <v/>
      </c>
      <c r="F87" s="1923" t="str">
        <f>FHD_P_49</f>
        <v/>
      </c>
      <c r="G87" s="1924" t="s">
        <v>568</v>
      </c>
      <c r="H87" s="985">
        <f>SUM(H88:H89)</f>
        <v>0</v>
      </c>
      <c r="I87" s="755">
        <f>SUM(I88:I89)</f>
        <v>0</v>
      </c>
      <c r="J87" s="277" t="str">
        <f>FHD_NOTE_P_49</f>
        <v/>
      </c>
      <c r="K87" s="740"/>
      <c r="L87" s="741"/>
      <c r="M87" s="741"/>
      <c r="N87" s="916"/>
      <c r="O87" s="916"/>
      <c r="P87" s="916"/>
      <c r="Q87" s="916"/>
      <c r="R87" s="741"/>
      <c r="S87" s="916"/>
      <c r="T87" s="916"/>
      <c r="U87" s="742"/>
      <c r="V87" s="916"/>
      <c r="W87" s="916"/>
      <c r="X87" s="916"/>
      <c r="Y87" s="916"/>
      <c r="Z87" s="916"/>
      <c r="AA87" s="743"/>
      <c r="AB87" s="743"/>
      <c r="AC87" s="743"/>
      <c r="AD87" s="743"/>
      <c r="AE87" s="743"/>
    </row>
    <row s="4112" customFormat="1" customHeight="1" ht="18.75" hidden="1">
      <c r="A88" s="2210"/>
      <c r="B88" s="916"/>
      <c r="C88" s="741"/>
      <c r="D88" s="739"/>
      <c r="E88" s="552" t="str">
        <f>FHD_NUM_P_50</f>
        <v/>
      </c>
      <c r="F88" s="1923" t="str">
        <f>FHD_P_50</f>
        <v/>
      </c>
      <c r="G88" s="1924" t="s">
        <v>568</v>
      </c>
      <c r="H88" s="984"/>
      <c r="I88" s="583"/>
      <c r="J88" s="277" t="str">
        <f>FHD_NOTE_P_50</f>
        <v/>
      </c>
      <c r="K88" s="740"/>
      <c r="L88" s="741"/>
      <c r="M88" s="741"/>
      <c r="N88" s="916"/>
      <c r="O88" s="916"/>
      <c r="P88" s="916"/>
      <c r="Q88" s="916"/>
      <c r="R88" s="741"/>
      <c r="S88" s="916"/>
      <c r="T88" s="916"/>
      <c r="U88" s="742"/>
      <c r="V88" s="916"/>
      <c r="W88" s="916"/>
      <c r="X88" s="916"/>
      <c r="Y88" s="916"/>
      <c r="Z88" s="916"/>
      <c r="AA88" s="743"/>
      <c r="AB88" s="743"/>
      <c r="AC88" s="743"/>
      <c r="AD88" s="743"/>
      <c r="AE88" s="743"/>
    </row>
    <row s="4112" customFormat="1" customHeight="1" ht="18.75" hidden="1">
      <c r="A89" s="2210"/>
      <c r="B89" s="916"/>
      <c r="C89" s="741"/>
      <c r="D89" s="739"/>
      <c r="E89" s="552" t="str">
        <f>FHD_NUM_P_51</f>
        <v/>
      </c>
      <c r="F89" s="1923" t="str">
        <f>FHD_P_51</f>
        <v/>
      </c>
      <c r="G89" s="1924" t="s">
        <v>568</v>
      </c>
      <c r="H89" s="984"/>
      <c r="I89" s="583"/>
      <c r="J89" s="277" t="str">
        <f>FHD_NOTE_P_51</f>
        <v/>
      </c>
      <c r="K89" s="740"/>
      <c r="L89" s="741"/>
      <c r="M89" s="741"/>
      <c r="N89" s="916"/>
      <c r="O89" s="916"/>
      <c r="P89" s="916"/>
      <c r="Q89" s="916"/>
      <c r="R89" s="741"/>
      <c r="S89" s="916"/>
      <c r="T89" s="916"/>
      <c r="U89" s="742"/>
      <c r="V89" s="916"/>
      <c r="W89" s="916"/>
      <c r="X89" s="916"/>
      <c r="Y89" s="916"/>
      <c r="Z89" s="916"/>
      <c r="AA89" s="743"/>
      <c r="AB89" s="743"/>
      <c r="AC89" s="743"/>
      <c r="AD89" s="743"/>
      <c r="AE89" s="743"/>
    </row>
    <row s="4112" customFormat="1" customHeight="1" ht="18.75" hidden="1">
      <c r="A90" s="2210"/>
      <c r="B90" s="916"/>
      <c r="C90" s="741"/>
      <c r="D90" s="739"/>
      <c r="E90" s="552" t="str">
        <f>FHD_NUM_P_52</f>
        <v/>
      </c>
      <c r="F90" s="1923" t="str">
        <f>FHD_P_52</f>
        <v/>
      </c>
      <c r="G90" s="1924" t="s">
        <v>545</v>
      </c>
      <c r="H90" s="983"/>
      <c r="I90" s="563"/>
      <c r="J90" s="277" t="str">
        <f>FHD_NOTE_P_52</f>
        <v/>
      </c>
      <c r="K90" s="740"/>
      <c r="L90" s="741"/>
      <c r="M90" s="741"/>
      <c r="N90" s="916"/>
      <c r="O90" s="916"/>
      <c r="P90" s="916"/>
      <c r="Q90" s="916"/>
      <c r="R90" s="741"/>
      <c r="S90" s="916"/>
      <c r="T90" s="916"/>
      <c r="U90" s="742"/>
      <c r="V90" s="916"/>
      <c r="W90" s="916"/>
      <c r="X90" s="916"/>
      <c r="Y90" s="916"/>
      <c r="Z90" s="916"/>
      <c r="AA90" s="743"/>
      <c r="AB90" s="743"/>
      <c r="AC90" s="743"/>
      <c r="AD90" s="743"/>
      <c r="AE90" s="743"/>
    </row>
    <row s="4103" customFormat="1" customHeight="1" ht="18.75" hidden="1">
      <c r="A91" s="2212" t="s">
        <v>569</v>
      </c>
      <c r="C91" s="741"/>
      <c r="D91" s="739"/>
      <c r="E91" s="552" t="str">
        <f>FHD_NUM_P_53</f>
        <v/>
      </c>
      <c r="F91" s="1923" t="str">
        <f>FHD_P_53</f>
        <v/>
      </c>
      <c r="G91" s="1924" t="s">
        <v>568</v>
      </c>
      <c r="H91" s="984"/>
      <c r="I91" s="583"/>
      <c r="J91" s="277" t="str">
        <f>FHD_NOTE_P_53</f>
        <v/>
      </c>
      <c r="K91" s="740"/>
      <c r="L91" s="741"/>
      <c r="M91" s="741"/>
      <c r="R91" s="741"/>
      <c r="U91" s="742"/>
      <c r="AA91" s="743"/>
      <c r="AB91" s="743"/>
      <c r="AC91" s="743"/>
      <c r="AD91" s="743"/>
      <c r="AE91" s="743"/>
    </row>
    <row s="4103" customFormat="1" customHeight="1" ht="18.75" hidden="1">
      <c r="A92" s="2212"/>
      <c r="C92" s="741"/>
      <c r="D92" s="739"/>
      <c r="E92" s="552" t="str">
        <f>FHD_NUM_P_54</f>
        <v/>
      </c>
      <c r="F92" s="1923" t="str">
        <f>FHD_P_54</f>
        <v/>
      </c>
      <c r="G92" s="1924" t="s">
        <v>568</v>
      </c>
      <c r="H92" s="984"/>
      <c r="I92" s="583"/>
      <c r="J92" s="277" t="str">
        <f>FHD_NOTE_P_54</f>
        <v/>
      </c>
      <c r="K92" s="740"/>
      <c r="L92" s="741"/>
      <c r="M92" s="741"/>
      <c r="R92" s="741"/>
      <c r="U92" s="742"/>
      <c r="AA92" s="743"/>
      <c r="AB92" s="743"/>
      <c r="AC92" s="743"/>
      <c r="AD92" s="743"/>
      <c r="AE92" s="743"/>
    </row>
    <row s="4103" customFormat="1" customHeight="1" ht="18.75" hidden="1">
      <c r="A93" s="2212"/>
      <c r="C93" s="741"/>
      <c r="D93" s="744"/>
      <c r="E93" s="552" t="str">
        <f>FHD_NUM_P_55</f>
        <v/>
      </c>
      <c r="F93" s="1923" t="str">
        <f>FHD_P_55</f>
        <v/>
      </c>
      <c r="G93" s="1927"/>
      <c r="H93" s="984"/>
      <c r="I93" s="583"/>
      <c r="J93" s="277" t="str">
        <f>FHD_NOTE_P_55</f>
        <v/>
      </c>
      <c r="K93" s="740"/>
      <c r="L93" s="741"/>
      <c r="M93" s="741"/>
      <c r="R93" s="741"/>
      <c r="U93" s="742"/>
      <c r="AA93" s="743"/>
      <c r="AB93" s="743"/>
      <c r="AC93" s="743"/>
      <c r="AD93" s="743"/>
      <c r="AE93" s="743"/>
    </row>
    <row s="4103" customFormat="1" customHeight="1" ht="18.75" hidden="1">
      <c r="A94" s="2212"/>
      <c r="C94" s="741"/>
      <c r="D94" s="739"/>
      <c r="E94" s="552" t="str">
        <f>FHD_NUM_P_56</f>
        <v/>
      </c>
      <c r="F94" s="1923" t="str">
        <f>FHD_P_56</f>
        <v/>
      </c>
      <c r="G94" s="1924" t="s">
        <v>570</v>
      </c>
      <c r="H94" s="984"/>
      <c r="I94" s="583"/>
      <c r="J94" s="277" t="str">
        <f>FHD_NOTE_P_56</f>
        <v/>
      </c>
      <c r="K94" s="740"/>
      <c r="L94" s="741"/>
      <c r="M94" s="741"/>
      <c r="R94" s="741"/>
      <c r="U94" s="742"/>
      <c r="AA94" s="743"/>
      <c r="AB94" s="743"/>
      <c r="AC94" s="743"/>
      <c r="AD94" s="743"/>
      <c r="AE94" s="743"/>
    </row>
    <row s="4112" customFormat="1" customHeight="1" ht="18.75" hidden="1">
      <c r="A95" s="2212"/>
      <c r="B95" s="916"/>
      <c r="C95" s="741"/>
      <c r="D95" s="739"/>
      <c r="E95" s="552" t="str">
        <f>FHD_NUM_P_57</f>
        <v/>
      </c>
      <c r="F95" s="1923" t="str">
        <f>FHD_P_57</f>
        <v/>
      </c>
      <c r="G95" s="1924" t="s">
        <v>545</v>
      </c>
      <c r="H95" s="983"/>
      <c r="I95" s="563"/>
      <c r="J95" s="277" t="str">
        <f>FHD_NOTE_P_57</f>
        <v/>
      </c>
      <c r="K95" s="740"/>
      <c r="L95" s="741"/>
      <c r="M95" s="741"/>
      <c r="N95" s="916"/>
      <c r="O95" s="916"/>
      <c r="P95" s="916"/>
      <c r="Q95" s="916"/>
      <c r="R95" s="741"/>
      <c r="S95" s="916"/>
      <c r="T95" s="916"/>
      <c r="U95" s="742"/>
      <c r="V95" s="916"/>
      <c r="W95" s="916"/>
      <c r="X95" s="916"/>
      <c r="Y95" s="916"/>
      <c r="Z95" s="916"/>
      <c r="AA95" s="743"/>
      <c r="AB95" s="743"/>
      <c r="AC95" s="743"/>
      <c r="AD95" s="743"/>
      <c r="AE95" s="743"/>
    </row>
    <row customHeight="1" ht="18.75" hidden="1">
      <c r="A96" s="2210" t="s">
        <v>571</v>
      </c>
      <c r="D96" s="1678"/>
      <c r="E96" s="552" t="str">
        <f>FHD_NUM_P_58</f>
        <v/>
      </c>
      <c r="F96" s="1923" t="str">
        <f>FHD_P_58</f>
        <v/>
      </c>
      <c r="G96" s="1924" t="s">
        <v>568</v>
      </c>
      <c r="H96" s="984"/>
      <c r="I96" s="583"/>
      <c r="J96" s="277" t="str">
        <f>FHD_NOTE_P_58</f>
        <v/>
      </c>
      <c r="K96" s="549"/>
    </row>
    <row customHeight="1" ht="18.75" hidden="1">
      <c r="A97" s="2210"/>
      <c r="D97" s="1678"/>
      <c r="E97" s="552" t="str">
        <f>FHD_NUM_P_59</f>
        <v/>
      </c>
      <c r="F97" s="1923" t="str">
        <f>FHD_P_59</f>
        <v/>
      </c>
      <c r="G97" s="1924" t="s">
        <v>568</v>
      </c>
      <c r="H97" s="984"/>
      <c r="I97" s="583"/>
      <c r="J97" s="277" t="str">
        <f>FHD_NOTE_P_59</f>
        <v/>
      </c>
      <c r="K97" s="549"/>
    </row>
    <row customHeight="1" ht="18.75" hidden="1">
      <c r="A98" s="2210"/>
      <c r="D98" s="1678"/>
      <c r="E98" s="552" t="str">
        <f>FHD_NUM_P_60</f>
        <v/>
      </c>
      <c r="F98" s="1923" t="str">
        <f>FHD_P_60</f>
        <v/>
      </c>
      <c r="G98" s="1924" t="s">
        <v>568</v>
      </c>
      <c r="H98" s="984"/>
      <c r="I98" s="583"/>
      <c r="J98" s="277" t="str">
        <f>FHD_NOTE_P_60</f>
        <v/>
      </c>
      <c r="K98" s="549"/>
    </row>
    <row s="3293" customFormat="1" customHeight="1" ht="18.75">
      <c r="A99" s="2210" t="s">
        <v>572</v>
      </c>
      <c r="C99" s="1676"/>
      <c r="D99" s="1678"/>
      <c r="E99" s="552" t="str">
        <f>FHD_NUM_P_61</f>
        <v>7</v>
      </c>
      <c r="F99" s="1923"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921" t="s">
        <v>543</v>
      </c>
      <c r="H99" s="986"/>
      <c r="I99" s="748"/>
      <c r="J99" s="277"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9"/>
      <c r="L99" s="1676"/>
      <c r="M99" s="1676"/>
      <c r="R99" s="1676"/>
      <c r="U99" s="550"/>
      <c r="AA99" s="1672"/>
      <c r="AB99" s="1672"/>
      <c r="AC99" s="1672"/>
      <c r="AD99" s="1672"/>
      <c r="AE99" s="1672"/>
    </row>
    <row s="4032" customFormat="1" customHeight="1" ht="0.75">
      <c r="A100" s="2210"/>
      <c r="D100" s="554"/>
      <c r="E100" s="1020" t="str">
        <f>E99&amp;".0"</f>
        <v>7.0</v>
      </c>
      <c r="F100" s="1001"/>
      <c r="G100" s="1002"/>
      <c r="H100" s="999"/>
      <c r="I100" s="999"/>
      <c r="J100" s="1003"/>
    </row>
    <row customHeight="1" ht="15">
      <c r="A101" s="2210"/>
      <c r="D101" s="1673"/>
      <c r="E101" s="978"/>
      <c r="F101" s="979" t="s">
        <v>573</v>
      </c>
      <c r="G101" s="578"/>
      <c r="H101" s="579"/>
      <c r="I101" s="579"/>
      <c r="J101" s="1011" t="s">
        <v>574</v>
      </c>
      <c r="K101" s="549"/>
    </row>
    <row s="3293" customFormat="1" customHeight="1" ht="18.75">
      <c r="A102" s="2210"/>
      <c r="C102" s="1676"/>
      <c r="D102" s="1678"/>
      <c r="E102" s="552" t="str">
        <f>FHD_NUM_P_62</f>
        <v>8</v>
      </c>
      <c r="F102" s="1923" t="str">
        <f>FHD_P_62</f>
        <v>Тепловая нагрузка по договорам, заключенным в рамках осуществления регулируемых видов деятельности</v>
      </c>
      <c r="G102" s="1920" t="s">
        <v>543</v>
      </c>
      <c r="H102" s="563"/>
      <c r="I102" s="563"/>
      <c r="J102" s="277"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9"/>
      <c r="L102" s="1676"/>
      <c r="M102" s="1676"/>
      <c r="R102" s="1676"/>
      <c r="U102" s="550"/>
      <c r="AA102" s="1672"/>
      <c r="AB102" s="1672"/>
      <c r="AC102" s="1672"/>
      <c r="AD102" s="1672"/>
      <c r="AE102" s="1672"/>
    </row>
    <row s="3293" customFormat="1" customHeight="1" ht="18.75">
      <c r="A103" s="2210"/>
      <c r="C103" s="1676"/>
      <c r="D103" s="1678"/>
      <c r="E103" s="552" t="str">
        <f>FHD_NUM_P_63</f>
        <v>9</v>
      </c>
      <c r="F103" s="1923" t="str">
        <f>FHD_P_63</f>
        <v>Объем вырабатываемой регулируемой организацией тепловой энергии в рамках осуществления регулируемых видов деятельности</v>
      </c>
      <c r="G103" s="1920" t="s">
        <v>570</v>
      </c>
      <c r="H103" s="583"/>
      <c r="I103" s="583"/>
      <c r="J103" s="277"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9"/>
      <c r="L103" s="1676"/>
      <c r="M103" s="1676"/>
      <c r="R103" s="1676"/>
      <c r="U103" s="550"/>
      <c r="AA103" s="1672"/>
      <c r="AB103" s="1672"/>
      <c r="AC103" s="1672"/>
      <c r="AD103" s="1672"/>
      <c r="AE103" s="1672"/>
    </row>
    <row s="3293" customFormat="1" customHeight="1" ht="18.75">
      <c r="A104" s="2210"/>
      <c r="C104" s="1676" t="s">
        <v>575</v>
      </c>
      <c r="D104" s="1678"/>
      <c r="E104" s="552" t="str">
        <f>FHD_NUM_P_64</f>
        <v>9.1</v>
      </c>
      <c r="F104" s="1923" t="str">
        <f>FHD_P_64</f>
        <v>Объем приобретаемой регулируемой организацией тепловой энергии в рамках осуществления регулируемых видов деятельности</v>
      </c>
      <c r="G104" s="1920" t="s">
        <v>570</v>
      </c>
      <c r="H104" s="551"/>
      <c r="I104" s="551"/>
      <c r="J104" s="277" t="str">
        <f>FHD_NOTE_P_64</f>
        <v>Информация указывается только едиными теплоснабжающими организациями.</v>
      </c>
      <c r="K104" s="549"/>
      <c r="L104" s="1676"/>
      <c r="M104" s="1676"/>
      <c r="R104" s="1676"/>
      <c r="U104" s="550"/>
      <c r="AA104" s="1672"/>
      <c r="AB104" s="1672"/>
      <c r="AC104" s="1672"/>
      <c r="AD104" s="1672"/>
      <c r="AE104" s="1672"/>
    </row>
    <row s="3293" customFormat="1" customHeight="1" ht="18.75">
      <c r="A105" s="2210"/>
      <c r="C105" s="1676"/>
      <c r="D105" s="1678"/>
      <c r="E105" s="552" t="str">
        <f>FHD_NUM_P_65</f>
        <v>10</v>
      </c>
      <c r="F105" s="1923"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920" t="s">
        <v>570</v>
      </c>
      <c r="H105" s="583"/>
      <c r="I105" s="583"/>
      <c r="J105" s="277"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9"/>
      <c r="L105" s="1676"/>
      <c r="M105" s="1676"/>
      <c r="R105" s="1676"/>
      <c r="U105" s="550"/>
      <c r="AA105" s="1672"/>
      <c r="AB105" s="1672"/>
      <c r="AC105" s="1672"/>
      <c r="AD105" s="1672"/>
      <c r="AE105" s="1672"/>
    </row>
    <row s="3293" customFormat="1" customHeight="1" ht="18.75">
      <c r="A106" s="2210"/>
      <c r="C106" s="1676"/>
      <c r="D106" s="1678"/>
      <c r="E106" s="552" t="str">
        <f>FHD_NUM_P_66</f>
        <v>10.1</v>
      </c>
      <c r="F106" s="1554" t="str">
        <f>FHD_P_66</f>
        <v>По приборам учёта </v>
      </c>
      <c r="G106" s="1920" t="s">
        <v>570</v>
      </c>
      <c r="H106" s="583"/>
      <c r="I106" s="583"/>
      <c r="J106" s="277" t="str">
        <f>FHD_NOTE_P_66</f>
        <v/>
      </c>
      <c r="K106" s="549"/>
      <c r="L106" s="1676"/>
      <c r="M106" s="1676"/>
      <c r="R106" s="1676"/>
      <c r="U106" s="550"/>
      <c r="AA106" s="1672"/>
      <c r="AB106" s="1672"/>
      <c r="AC106" s="1672"/>
      <c r="AD106" s="1672"/>
      <c r="AE106" s="1672"/>
    </row>
    <row s="3293" customFormat="1" customHeight="1" ht="18.75">
      <c r="A107" s="2210"/>
      <c r="C107" s="1676"/>
      <c r="D107" s="1678"/>
      <c r="E107" s="552" t="str">
        <f>FHD_NUM_P_67</f>
        <v>10.1.1</v>
      </c>
      <c r="F107" s="1690"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920" t="s">
        <v>570</v>
      </c>
      <c r="H107" s="583"/>
      <c r="I107" s="583"/>
      <c r="J107" s="277" t="str">
        <f>FHD_NOTE_P_67</f>
        <v/>
      </c>
      <c r="K107" s="549"/>
      <c r="L107" s="1676"/>
      <c r="M107" s="1676"/>
      <c r="R107" s="1676"/>
      <c r="U107" s="550"/>
      <c r="AA107" s="1672"/>
      <c r="AB107" s="1672"/>
      <c r="AC107" s="1672"/>
      <c r="AD107" s="1672"/>
      <c r="AE107" s="1672"/>
    </row>
    <row s="3293" customFormat="1" customHeight="1" ht="18.75">
      <c r="A108" s="2210"/>
      <c r="C108" s="1676"/>
      <c r="D108" s="1678"/>
      <c r="E108" s="552" t="str">
        <f>FHD_NUM_P_68</f>
        <v>10.2</v>
      </c>
      <c r="F108" s="1554" t="str">
        <f>FHD_P_68</f>
        <v>Расчётным путём</v>
      </c>
      <c r="G108" s="1920" t="s">
        <v>570</v>
      </c>
      <c r="H108" s="583"/>
      <c r="I108" s="583"/>
      <c r="J108" s="277" t="str">
        <f>FHD_NOTE_P_68</f>
        <v/>
      </c>
      <c r="K108" s="549"/>
      <c r="L108" s="1676"/>
      <c r="M108" s="1676"/>
      <c r="R108" s="1676"/>
      <c r="U108" s="550"/>
      <c r="AA108" s="1672"/>
      <c r="AB108" s="1672"/>
      <c r="AC108" s="1672"/>
      <c r="AD108" s="1672"/>
      <c r="AE108" s="1672"/>
    </row>
    <row s="3293" customFormat="1" customHeight="1" ht="18.75">
      <c r="A109" s="2210"/>
      <c r="C109" s="1676"/>
      <c r="D109" s="1678"/>
      <c r="E109" s="552" t="str">
        <f>FHD_NUM_P_69</f>
        <v>10.3</v>
      </c>
      <c r="F109" s="1554" t="str">
        <f>FHD_P_69</f>
        <v>По нормативам потребления коммунальных услуг и нормативам потребления коммунальных ресурсов</v>
      </c>
      <c r="G109" s="1920" t="s">
        <v>570</v>
      </c>
      <c r="H109" s="583"/>
      <c r="I109" s="583"/>
      <c r="J109" s="277" t="str">
        <f>FHD_NOTE_P_69</f>
        <v/>
      </c>
      <c r="K109" s="549"/>
      <c r="L109" s="1676"/>
      <c r="M109" s="1676"/>
      <c r="R109" s="1676"/>
      <c r="U109" s="550"/>
      <c r="AA109" s="1672"/>
      <c r="AB109" s="1672"/>
      <c r="AC109" s="1672"/>
      <c r="AD109" s="1672"/>
      <c r="AE109" s="1672"/>
    </row>
    <row s="3293" customFormat="1" customHeight="1" ht="22.5">
      <c r="A110" s="2210"/>
      <c r="C110" s="1676"/>
      <c r="D110" s="1678"/>
      <c r="E110" s="552" t="str">
        <f>FHD_NUM_P_70</f>
        <v>11</v>
      </c>
      <c r="F110" s="1923" t="str">
        <f>FHD_P_70</f>
        <v>Нормативы технологических потерь при передаче тепловой энергии, теплоносителя по тепловым сетям, утвержденные уполномоченным органом</v>
      </c>
      <c r="G110" s="1920" t="s">
        <v>576</v>
      </c>
      <c r="H110" s="563"/>
      <c r="I110" s="563"/>
      <c r="J110" s="277" t="str">
        <f>FHD_NOTE_P_70</f>
        <v/>
      </c>
      <c r="K110" s="549"/>
      <c r="L110" s="1676"/>
      <c r="M110" s="1676"/>
      <c r="R110" s="1676"/>
      <c r="U110" s="550"/>
      <c r="AA110" s="1672"/>
      <c r="AB110" s="1672"/>
      <c r="AC110" s="1672"/>
      <c r="AD110" s="1672"/>
      <c r="AE110" s="1672"/>
    </row>
    <row s="3293" customFormat="1" customHeight="1" ht="22.5">
      <c r="A111" s="2210"/>
      <c r="C111" s="1676"/>
      <c r="D111" s="1678"/>
      <c r="E111" s="552" t="str">
        <f>FHD_NUM_P_71</f>
        <v>12</v>
      </c>
      <c r="F111" s="1923" t="str">
        <f>FHD_P_71</f>
        <v>Фактический объем потерь при передаче тепловой энергии</v>
      </c>
      <c r="G111" s="1920" t="s">
        <v>576</v>
      </c>
      <c r="H111" s="563"/>
      <c r="I111" s="563"/>
      <c r="J111" s="277" t="str">
        <f>FHD_NOTE_P_71</f>
        <v/>
      </c>
      <c r="K111" s="549"/>
      <c r="L111" s="1676"/>
      <c r="M111" s="1676"/>
      <c r="R111" s="1676"/>
      <c r="U111" s="550"/>
      <c r="AA111" s="1672"/>
      <c r="AB111" s="1672"/>
      <c r="AC111" s="1672"/>
      <c r="AD111" s="1672"/>
      <c r="AE111" s="1672"/>
    </row>
    <row customHeight="1" ht="18.75">
      <c r="D112" s="1678"/>
      <c r="E112" s="552" t="str">
        <f>FHD_NUM_P_72</f>
        <v>13</v>
      </c>
      <c r="F112" s="1923" t="str">
        <f>FHD_P_72</f>
        <v>Среднесписочная численность основного производственного персонала</v>
      </c>
      <c r="G112" s="1919" t="s">
        <v>577</v>
      </c>
      <c r="H112" s="583"/>
      <c r="I112" s="583"/>
      <c r="J112" s="277" t="str">
        <f>FHD_NOTE_P_72</f>
        <v/>
      </c>
      <c r="K112" s="549"/>
    </row>
    <row customHeight="1" ht="18.75">
      <c r="A113" s="996" t="s">
        <v>578</v>
      </c>
      <c r="D113" s="1678"/>
      <c r="E113" s="552" t="str">
        <f>FHD_NUM_P_73</f>
        <v>14</v>
      </c>
      <c r="F113" s="1923" t="str">
        <f>FHD_P_73</f>
        <v>Среднесписочная численность административно-управленческого персонала</v>
      </c>
      <c r="G113" s="977" t="s">
        <v>577</v>
      </c>
      <c r="H113" s="975"/>
      <c r="I113" s="975"/>
      <c r="J113" s="277" t="str">
        <f>FHD_NOTE_P_73</f>
        <v/>
      </c>
      <c r="K113" s="549"/>
    </row>
    <row customHeight="1" ht="33.75" hidden="1">
      <c r="A114" s="996" t="s">
        <v>579</v>
      </c>
      <c r="D114" s="1678"/>
      <c r="E114" s="552" t="str">
        <f>FHD_NUM_P_74</f>
        <v/>
      </c>
      <c r="F114" s="1923" t="str">
        <f>FHD_P_74</f>
        <v/>
      </c>
      <c r="G114" s="1919" t="s">
        <v>580</v>
      </c>
      <c r="H114" s="583"/>
      <c r="I114" s="583"/>
      <c r="J114" s="277" t="str">
        <f>FHD_NOTE_P_74</f>
        <v/>
      </c>
      <c r="K114" s="549"/>
    </row>
    <row s="4112" customFormat="1" customHeight="1" ht="18.75" hidden="1">
      <c r="A115" s="2212" t="s">
        <v>581</v>
      </c>
      <c r="B115" s="916"/>
      <c r="C115" s="741"/>
      <c r="D115" s="739"/>
      <c r="E115" s="552" t="str">
        <f>FHD_NUM_P_75</f>
        <v/>
      </c>
      <c r="F115" s="1923" t="str">
        <f>FHD_P_75</f>
        <v/>
      </c>
      <c r="G115" s="1919" t="s">
        <v>545</v>
      </c>
      <c r="H115" s="563"/>
      <c r="I115" s="563"/>
      <c r="J115" s="277" t="str">
        <f>FHD_NOTE_P_75</f>
        <v/>
      </c>
      <c r="K115" s="740"/>
      <c r="L115" s="741"/>
      <c r="M115" s="741"/>
      <c r="N115" s="916"/>
      <c r="O115" s="916"/>
      <c r="P115" s="916"/>
      <c r="Q115" s="916"/>
      <c r="R115" s="741"/>
      <c r="S115" s="916"/>
      <c r="T115" s="916"/>
      <c r="U115" s="742"/>
      <c r="V115" s="916"/>
      <c r="W115" s="916"/>
      <c r="X115" s="916"/>
      <c r="Y115" s="916"/>
      <c r="Z115" s="916"/>
      <c r="AA115" s="743"/>
      <c r="AB115" s="743"/>
      <c r="AC115" s="743"/>
      <c r="AD115" s="743"/>
      <c r="AE115" s="743"/>
    </row>
    <row s="4112" customFormat="1" customHeight="1" ht="18.75" hidden="1">
      <c r="A116" s="2212"/>
      <c r="B116" s="916"/>
      <c r="C116" s="741"/>
      <c r="D116" s="739"/>
      <c r="E116" s="552" t="str">
        <f>FHD_NUM_P_76</f>
        <v/>
      </c>
      <c r="F116" s="1923" t="str">
        <f>FHD_P_76</f>
        <v/>
      </c>
      <c r="G116" s="1919" t="s">
        <v>545</v>
      </c>
      <c r="H116" s="563"/>
      <c r="I116" s="563"/>
      <c r="J116" s="277" t="str">
        <f>FHD_NOTE_P_76</f>
        <v/>
      </c>
      <c r="K116" s="740"/>
      <c r="L116" s="741"/>
      <c r="M116" s="741"/>
      <c r="N116" s="916"/>
      <c r="O116" s="916"/>
      <c r="P116" s="916"/>
      <c r="Q116" s="916"/>
      <c r="R116" s="741"/>
      <c r="S116" s="916"/>
      <c r="T116" s="916"/>
      <c r="U116" s="742"/>
      <c r="V116" s="916"/>
      <c r="W116" s="916"/>
      <c r="X116" s="916"/>
      <c r="Y116" s="916"/>
      <c r="Z116" s="916"/>
      <c r="AA116" s="743"/>
      <c r="AB116" s="743"/>
      <c r="AC116" s="743"/>
      <c r="AD116" s="743"/>
      <c r="AE116" s="743"/>
    </row>
    <row s="4112" customFormat="1" customHeight="1" ht="18.75" hidden="1">
      <c r="A117" s="2212"/>
      <c r="B117" s="916"/>
      <c r="C117" s="741"/>
      <c r="D117" s="739"/>
      <c r="E117" s="552" t="str">
        <f>FHD_NUM_P_77</f>
        <v/>
      </c>
      <c r="F117" s="1923" t="str">
        <f>FHD_P_77</f>
        <v/>
      </c>
      <c r="G117" s="1919" t="s">
        <v>545</v>
      </c>
      <c r="H117" s="563"/>
      <c r="I117" s="563"/>
      <c r="J117" s="277" t="str">
        <f>FHD_NOTE_P_77</f>
        <v/>
      </c>
      <c r="K117" s="740"/>
      <c r="L117" s="741"/>
      <c r="M117" s="741"/>
      <c r="N117" s="916"/>
      <c r="O117" s="916"/>
      <c r="P117" s="916"/>
      <c r="Q117" s="916"/>
      <c r="R117" s="741"/>
      <c r="S117" s="916"/>
      <c r="T117" s="916"/>
      <c r="U117" s="742"/>
      <c r="V117" s="916"/>
      <c r="W117" s="916"/>
      <c r="X117" s="916"/>
      <c r="Y117" s="916"/>
      <c r="Z117" s="916"/>
      <c r="AA117" s="743"/>
      <c r="AB117" s="743"/>
      <c r="AC117" s="743"/>
      <c r="AD117" s="743"/>
      <c r="AE117" s="743"/>
    </row>
    <row s="4032" customFormat="1" customHeight="1" ht="0.75" hidden="1">
      <c r="A118" s="2212"/>
      <c r="D118" s="554"/>
      <c r="E118" s="1020" t="str">
        <f>E117&amp;".0"</f>
        <v>.0</v>
      </c>
      <c r="F118" s="1004"/>
      <c r="G118" s="1691"/>
      <c r="H118" s="999"/>
      <c r="I118" s="999"/>
      <c r="J118" s="1003"/>
    </row>
    <row s="4112" customFormat="1" customHeight="1" ht="15" hidden="1">
      <c r="A119" s="2212"/>
      <c r="B119" s="916"/>
      <c r="C119" s="741"/>
      <c r="D119" s="752"/>
      <c r="E119" s="980"/>
      <c r="F119" s="981" t="s">
        <v>582</v>
      </c>
      <c r="G119" s="753"/>
      <c r="H119" s="754"/>
      <c r="I119" s="754"/>
      <c r="J119" s="1010" t="s">
        <v>583</v>
      </c>
      <c r="K119" s="740"/>
      <c r="L119" s="741"/>
      <c r="M119" s="741"/>
      <c r="N119" s="916"/>
      <c r="O119" s="916"/>
      <c r="P119" s="916"/>
      <c r="Q119" s="916"/>
      <c r="R119" s="741"/>
      <c r="S119" s="916"/>
      <c r="T119" s="916"/>
      <c r="U119" s="742"/>
      <c r="V119" s="916"/>
      <c r="W119" s="916"/>
      <c r="X119" s="916"/>
      <c r="Y119" s="916"/>
      <c r="Z119" s="916"/>
      <c r="AA119" s="743"/>
      <c r="AB119" s="743"/>
      <c r="AC119" s="743"/>
      <c r="AD119" s="743"/>
      <c r="AE119" s="743"/>
    </row>
    <row customHeight="1" ht="22.5">
      <c r="A120" s="2210" t="s">
        <v>584</v>
      </c>
      <c r="D120" s="1678"/>
      <c r="E120" s="552" t="str">
        <f>FHD_NUM_P_78</f>
        <v>15</v>
      </c>
      <c r="F120" s="1923"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920" t="s">
        <v>547</v>
      </c>
      <c r="H120" s="583"/>
      <c r="I120" s="583"/>
      <c r="J120" s="277" t="str">
        <f>FHD_NOTE_P_78</f>
        <v/>
      </c>
      <c r="K120" s="549"/>
    </row>
    <row s="4032" customFormat="1" customHeight="1" ht="0.75">
      <c r="A121" s="2210"/>
      <c r="D121" s="554"/>
      <c r="E121" s="1020" t="str">
        <f>E120&amp;".0"</f>
        <v>15.0</v>
      </c>
      <c r="F121" s="1004"/>
      <c r="G121" s="1691"/>
      <c r="H121" s="999"/>
      <c r="I121" s="999"/>
      <c r="J121" s="1003"/>
    </row>
    <row customHeight="1" ht="15">
      <c r="A122" s="2210"/>
      <c r="D122" s="1673"/>
      <c r="E122" s="576"/>
      <c r="F122" s="1176" t="s">
        <v>573</v>
      </c>
      <c r="G122" s="578"/>
      <c r="H122" s="579"/>
      <c r="I122" s="579"/>
      <c r="J122" s="1011" t="s">
        <v>585</v>
      </c>
      <c r="K122" s="549"/>
    </row>
    <row customHeight="1" ht="22.5">
      <c r="A123" s="2210"/>
      <c r="D123" s="1678"/>
      <c r="E123" s="552" t="str">
        <f>FHD_NUM_P_79</f>
        <v>16</v>
      </c>
      <c r="F123" s="1923"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921" t="s">
        <v>549</v>
      </c>
      <c r="H123" s="583"/>
      <c r="I123" s="583"/>
      <c r="J123" s="277"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9"/>
    </row>
    <row s="4032" customFormat="1" customHeight="1" ht="0.75">
      <c r="A124" s="2210"/>
      <c r="D124" s="554"/>
      <c r="E124" s="1020" t="str">
        <f>E123&amp;".0"</f>
        <v>16.0</v>
      </c>
      <c r="F124" s="1005"/>
      <c r="G124" s="1691"/>
      <c r="H124" s="999"/>
      <c r="I124" s="999"/>
      <c r="J124" s="1003"/>
    </row>
    <row customHeight="1" ht="15">
      <c r="A125" s="2210"/>
      <c r="D125" s="1673"/>
      <c r="E125" s="576"/>
      <c r="F125" s="1176" t="s">
        <v>573</v>
      </c>
      <c r="G125" s="578"/>
      <c r="H125" s="579"/>
      <c r="I125" s="579"/>
      <c r="J125" s="1011" t="s">
        <v>586</v>
      </c>
      <c r="K125" s="549"/>
    </row>
    <row customHeight="1" ht="22.5">
      <c r="A126" s="2210"/>
      <c r="D126" s="1678"/>
      <c r="E126" s="552" t="str">
        <f>FHD_NUM_P_80</f>
        <v>17</v>
      </c>
      <c r="F126" s="1923"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921" t="s">
        <v>587</v>
      </c>
      <c r="H126" s="563"/>
      <c r="I126" s="563"/>
      <c r="J126" s="277" t="str">
        <f>FHD_NOTE_P_80</f>
        <v>Регулируемыми организациями указывается информация с по договорам, заключенным в рамках осуществления регулируемой деятельности.</v>
      </c>
      <c r="K126" s="549"/>
    </row>
    <row customHeight="1" ht="18.75">
      <c r="A127" s="2210"/>
      <c r="D127" s="1678"/>
      <c r="E127" s="552" t="str">
        <f>FHD_NUM_P_81</f>
        <v>18</v>
      </c>
      <c r="F127" s="1923"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921" t="s">
        <v>588</v>
      </c>
      <c r="H127" s="563"/>
      <c r="I127" s="563"/>
      <c r="J127" s="277" t="str">
        <f>FHD_NOTE_P_81</f>
        <v>Регулируемыми организациями указывается информация с по договорам, заключенным в рамках осуществления регулируемой деятельности.</v>
      </c>
      <c r="K127" s="549"/>
    </row>
    <row customHeight="1" ht="18.75">
      <c r="A128" s="2210"/>
      <c r="C128" s="1676" t="s">
        <v>575</v>
      </c>
      <c r="D128" s="1678"/>
      <c r="E128" s="552" t="str">
        <f>FHD_NUM_P_82</f>
        <v>19</v>
      </c>
      <c r="F128" s="1923"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921" t="s">
        <v>297</v>
      </c>
      <c r="H128" s="407"/>
      <c r="I128" s="407"/>
      <c r="J128" s="277" t="str">
        <f>FHD_NOTE_P_82</f>
        <v>Указывается ссылка на документ, предварительно загруженный в хранилище файлов ФГИС ЕИАС.</v>
      </c>
      <c r="K128" s="549"/>
    </row>
    <row customHeight="1" ht="18.75">
      <c r="A129" s="2210"/>
      <c r="C129" s="1676" t="s">
        <v>575</v>
      </c>
      <c r="D129" s="1678"/>
      <c r="E129" s="552" t="str">
        <f>FHD_NUM_P_83</f>
        <v>19.1</v>
      </c>
      <c r="F129" s="1554" t="str">
        <f>FHD_P_83</f>
        <v>Информация о показателях физического износа объектов теплоснабжения</v>
      </c>
      <c r="G129" s="1921" t="s">
        <v>297</v>
      </c>
      <c r="H129" s="407"/>
      <c r="I129" s="407"/>
      <c r="J129" s="277" t="str">
        <f>FHD_NOTE_P_83</f>
        <v>Указывается ссылка на документ, предварительно загруженный в хранилище файлов ФГИС ЕИАС.</v>
      </c>
      <c r="K129" s="549"/>
    </row>
    <row customHeight="1" ht="18.75">
      <c r="A130" s="2210"/>
      <c r="C130" s="1676" t="s">
        <v>575</v>
      </c>
      <c r="D130" s="1678"/>
      <c r="E130" s="552" t="str">
        <f>FHD_NUM_P_84</f>
        <v>19.2</v>
      </c>
      <c r="F130" s="1554" t="str">
        <f>FHD_P_84</f>
        <v>Информация о показателях энергетической эффективности объектов теплоснабжения</v>
      </c>
      <c r="G130" s="1921" t="s">
        <v>297</v>
      </c>
      <c r="H130" s="407"/>
      <c r="I130" s="407"/>
      <c r="J130" s="277" t="str">
        <f>FHD_NOTE_P_84</f>
        <v>Указывается ссылка на документ, предварительно загруженный в хранилище файлов ФГИС ЕИАС.</v>
      </c>
      <c r="K130" s="549"/>
    </row>
    <row customHeight="1" ht="11.25">
      <c r="D131" s="1678"/>
    </row>
    <row customHeight="1" ht="12.75">
      <c r="D132" s="1678"/>
      <c r="E132" s="332"/>
      <c r="F132" s="369"/>
      <c r="G132" s="369"/>
      <c r="H132" s="369"/>
      <c r="I132" s="1687"/>
      <c r="J132" s="587"/>
    </row>
    <row s="4068" customFormat="1" customHeight="1" ht="11.25">
      <c r="A133" s="994"/>
      <c r="B133" s="1676"/>
      <c r="C133" s="1676"/>
      <c r="D133" s="347"/>
      <c r="F133" s="1680"/>
      <c r="G133" s="1671"/>
      <c r="H133" s="1671"/>
      <c r="I133" s="1671"/>
      <c r="K133" s="1168"/>
      <c r="L133" s="1676"/>
      <c r="M133" s="1676"/>
      <c r="N133" s="1168"/>
      <c r="O133" s="1168"/>
      <c r="P133" s="1168"/>
      <c r="Q133" s="1168"/>
      <c r="R133" s="1676"/>
      <c r="S133" s="1168"/>
      <c r="T133" s="1168"/>
      <c r="U133" s="550"/>
      <c r="V133" s="1168"/>
      <c r="W133" s="1168"/>
      <c r="X133" s="1168"/>
      <c r="Y133" s="1168"/>
      <c r="Z133" s="1168"/>
      <c r="AA133" s="1672"/>
      <c r="AB133" s="572"/>
      <c r="AC133" s="572"/>
      <c r="AD133" s="572"/>
      <c r="AE133" s="572"/>
    </row>
    <row s="4068" customFormat="1" customHeight="1" ht="11.25">
      <c r="A134" s="994"/>
      <c r="B134" s="1676"/>
      <c r="C134" s="1676"/>
      <c r="D134" s="347"/>
      <c r="K134" s="1168"/>
      <c r="L134" s="1676"/>
      <c r="M134" s="1676"/>
      <c r="N134" s="1168"/>
      <c r="O134" s="1168"/>
      <c r="P134" s="1168"/>
      <c r="Q134" s="1168"/>
      <c r="R134" s="1676"/>
      <c r="S134" s="1168"/>
      <c r="T134" s="1168"/>
      <c r="U134" s="550"/>
      <c r="V134" s="1168"/>
      <c r="W134" s="1168"/>
      <c r="X134" s="1168"/>
      <c r="Y134" s="1168"/>
      <c r="Z134" s="1168"/>
      <c r="AA134" s="1672"/>
      <c r="AB134" s="572"/>
      <c r="AC134" s="572"/>
      <c r="AD134" s="572"/>
      <c r="AE134" s="572"/>
    </row>
    <row s="4068" customFormat="1" customHeight="1" ht="11.25">
      <c r="A135" s="994"/>
      <c r="B135" s="1676"/>
      <c r="C135" s="1676"/>
      <c r="D135" s="347"/>
      <c r="K135" s="1168"/>
      <c r="L135" s="1676"/>
      <c r="M135" s="1676"/>
      <c r="N135" s="1168"/>
      <c r="O135" s="1168"/>
      <c r="P135" s="1168"/>
      <c r="Q135" s="1168"/>
      <c r="R135" s="1676"/>
      <c r="S135" s="1168"/>
      <c r="T135" s="1168"/>
      <c r="U135" s="550"/>
      <c r="V135" s="1168"/>
      <c r="W135" s="1168"/>
      <c r="X135" s="1168"/>
      <c r="Y135" s="1168"/>
      <c r="Z135" s="1168"/>
      <c r="AA135" s="1672"/>
      <c r="AB135" s="572"/>
      <c r="AC135" s="572"/>
      <c r="AD135" s="572"/>
      <c r="AE135" s="572"/>
    </row>
    <row s="4068" customFormat="1" customHeight="1" ht="11.25">
      <c r="A136" s="994"/>
      <c r="B136" s="1676"/>
      <c r="C136" s="1676"/>
      <c r="D136" s="347"/>
      <c r="H136" s="572" t="str">
        <f>IF(H30-H31&lt;&gt;H72,"WARNING","")</f>
        <v/>
      </c>
      <c r="I136" s="572" t="str">
        <f>IF(I30-I31&lt;&gt;I72,"WARNING","")</f>
        <v/>
      </c>
      <c r="K136" s="1168"/>
      <c r="L136" s="1676"/>
      <c r="M136" s="1676"/>
      <c r="N136" s="1168"/>
      <c r="O136" s="1168"/>
      <c r="P136" s="1168"/>
      <c r="Q136" s="1168"/>
      <c r="R136" s="1676"/>
      <c r="S136" s="1168"/>
      <c r="T136" s="1168"/>
      <c r="U136" s="550"/>
      <c r="V136" s="1168"/>
      <c r="W136" s="1168"/>
      <c r="X136" s="1168"/>
      <c r="Y136" s="1168"/>
      <c r="Z136" s="1168"/>
      <c r="AA136" s="1672"/>
      <c r="AB136" s="572"/>
      <c r="AC136" s="572"/>
      <c r="AD136" s="572"/>
      <c r="AE136" s="572"/>
    </row>
    <row s="4068" customFormat="1" customHeight="1" ht="11.25">
      <c r="A137" s="994"/>
      <c r="B137" s="1676"/>
      <c r="C137" s="1676"/>
      <c r="D137" s="347"/>
      <c r="K137" s="1168"/>
      <c r="L137" s="1676"/>
      <c r="M137" s="1676"/>
      <c r="N137" s="1168"/>
      <c r="O137" s="1168"/>
      <c r="P137" s="1168"/>
      <c r="Q137" s="1168"/>
      <c r="R137" s="1676"/>
      <c r="S137" s="1168"/>
      <c r="T137" s="1168"/>
      <c r="U137" s="550"/>
      <c r="V137" s="1168"/>
      <c r="W137" s="1168"/>
      <c r="X137" s="1168"/>
      <c r="Y137" s="1168"/>
      <c r="Z137" s="1168"/>
      <c r="AA137" s="1672"/>
      <c r="AB137" s="572"/>
      <c r="AC137" s="572"/>
      <c r="AD137" s="572"/>
      <c r="AE137" s="572"/>
    </row>
    <row s="4068" customFormat="1" customHeight="1" ht="11.25">
      <c r="A138" s="994"/>
      <c r="B138" s="1676"/>
      <c r="C138" s="1676"/>
      <c r="D138" s="347"/>
      <c r="K138" s="1168"/>
      <c r="L138" s="1676"/>
      <c r="M138" s="1676"/>
      <c r="N138" s="1168"/>
      <c r="O138" s="1168"/>
      <c r="P138" s="1168"/>
      <c r="Q138" s="1168"/>
      <c r="R138" s="1676"/>
      <c r="S138" s="1168"/>
      <c r="T138" s="1168"/>
      <c r="U138" s="550"/>
      <c r="V138" s="1168"/>
      <c r="W138" s="1168"/>
      <c r="X138" s="1168"/>
      <c r="Y138" s="1168"/>
      <c r="Z138" s="1168"/>
      <c r="AA138" s="1672"/>
      <c r="AB138" s="572"/>
      <c r="AC138" s="572"/>
      <c r="AD138" s="572"/>
      <c r="AE138" s="572"/>
    </row>
    <row s="4068" customFormat="1" customHeight="1" ht="11.25">
      <c r="A139" s="994"/>
      <c r="B139" s="1676"/>
      <c r="C139" s="1676"/>
      <c r="D139" s="347"/>
      <c r="K139" s="1168"/>
      <c r="L139" s="1676"/>
      <c r="M139" s="1676"/>
      <c r="N139" s="1168"/>
      <c r="O139" s="1168"/>
      <c r="P139" s="1168"/>
      <c r="Q139" s="1168"/>
      <c r="R139" s="1676"/>
      <c r="S139" s="1168"/>
      <c r="T139" s="1168"/>
      <c r="U139" s="550"/>
      <c r="V139" s="1168"/>
      <c r="W139" s="1168"/>
      <c r="X139" s="1168"/>
      <c r="Y139" s="1168"/>
      <c r="Z139" s="1168"/>
      <c r="AA139" s="1672"/>
      <c r="AB139" s="572"/>
      <c r="AC139" s="572"/>
      <c r="AD139" s="572"/>
      <c r="AE139" s="572"/>
    </row>
    <row s="4068" customFormat="1" customHeight="1" ht="11.25">
      <c r="A140" s="994"/>
      <c r="B140" s="1676"/>
      <c r="C140" s="1676"/>
      <c r="D140" s="347"/>
      <c r="K140" s="1168"/>
      <c r="L140" s="1676"/>
      <c r="M140" s="1676"/>
      <c r="N140" s="1168"/>
      <c r="O140" s="1168"/>
      <c r="P140" s="1168"/>
      <c r="Q140" s="1168"/>
      <c r="R140" s="1676"/>
      <c r="S140" s="1168"/>
      <c r="T140" s="1168"/>
      <c r="U140" s="550"/>
      <c r="V140" s="1168"/>
      <c r="W140" s="1168"/>
      <c r="X140" s="1168"/>
      <c r="Y140" s="1168"/>
      <c r="Z140" s="1168"/>
      <c r="AA140" s="1672"/>
      <c r="AB140" s="572"/>
      <c r="AC140" s="572"/>
      <c r="AD140" s="572"/>
      <c r="AE140" s="572"/>
    </row>
    <row s="4068" customFormat="1" customHeight="1" ht="11.25">
      <c r="A141" s="994"/>
      <c r="B141" s="1676"/>
      <c r="C141" s="1676"/>
      <c r="D141" s="347"/>
      <c r="K141" s="1168"/>
      <c r="L141" s="1676"/>
      <c r="M141" s="1676"/>
      <c r="N141" s="1168"/>
      <c r="O141" s="1168"/>
      <c r="P141" s="1168"/>
      <c r="Q141" s="1168"/>
      <c r="R141" s="1676"/>
      <c r="S141" s="1168"/>
      <c r="T141" s="1168"/>
      <c r="U141" s="550"/>
      <c r="V141" s="1168"/>
      <c r="W141" s="1168"/>
      <c r="X141" s="1168"/>
      <c r="Y141" s="1168"/>
      <c r="Z141" s="1168"/>
      <c r="AA141" s="1672"/>
      <c r="AB141" s="572"/>
      <c r="AC141" s="572"/>
      <c r="AD141" s="572"/>
      <c r="AE141" s="572"/>
    </row>
    <row s="4068" customFormat="1" customHeight="1" ht="11.25">
      <c r="A142" s="994"/>
      <c r="B142" s="1676"/>
      <c r="C142" s="1676"/>
      <c r="D142" s="347"/>
      <c r="K142" s="1168"/>
      <c r="L142" s="1676"/>
      <c r="M142" s="1676"/>
      <c r="N142" s="1168"/>
      <c r="O142" s="1168"/>
      <c r="P142" s="1168"/>
      <c r="Q142" s="1168"/>
      <c r="R142" s="1676"/>
      <c r="S142" s="1168"/>
      <c r="T142" s="1168"/>
      <c r="U142" s="550"/>
      <c r="V142" s="1168"/>
      <c r="W142" s="1168"/>
      <c r="X142" s="1168"/>
      <c r="Y142" s="1168"/>
      <c r="Z142" s="1168"/>
      <c r="AA142" s="1672"/>
      <c r="AB142" s="572"/>
      <c r="AC142" s="572"/>
      <c r="AD142" s="572"/>
      <c r="AE142" s="572"/>
    </row>
    <row s="4068" customFormat="1" customHeight="1" ht="11.25">
      <c r="A143" s="994"/>
      <c r="B143" s="1676"/>
      <c r="C143" s="1676"/>
      <c r="D143" s="347"/>
      <c r="K143" s="1168"/>
      <c r="L143" s="1676"/>
      <c r="M143" s="1676"/>
      <c r="N143" s="1168"/>
      <c r="O143" s="1168"/>
      <c r="P143" s="1168"/>
      <c r="Q143" s="1168"/>
      <c r="R143" s="1676"/>
      <c r="S143" s="1168"/>
      <c r="T143" s="1168"/>
      <c r="U143" s="550"/>
      <c r="V143" s="1168"/>
      <c r="W143" s="1168"/>
      <c r="X143" s="1168"/>
      <c r="Y143" s="1168"/>
      <c r="Z143" s="1168"/>
      <c r="AA143" s="1672"/>
      <c r="AB143" s="572"/>
      <c r="AC143" s="572"/>
      <c r="AD143" s="572"/>
      <c r="AE143" s="572"/>
    </row>
    <row s="4068" customFormat="1" customHeight="1" ht="11.25">
      <c r="A144" s="994"/>
      <c r="B144" s="1676"/>
      <c r="C144" s="1676"/>
      <c r="D144" s="347"/>
      <c r="K144" s="1168"/>
      <c r="L144" s="1676"/>
      <c r="M144" s="1676"/>
      <c r="N144" s="1168"/>
      <c r="O144" s="1168"/>
      <c r="P144" s="1168"/>
      <c r="Q144" s="1168"/>
      <c r="R144" s="1676"/>
      <c r="S144" s="1168"/>
      <c r="T144" s="1168"/>
      <c r="U144" s="550"/>
      <c r="V144" s="1168"/>
      <c r="W144" s="1168"/>
      <c r="X144" s="1168"/>
      <c r="Y144" s="1168"/>
      <c r="Z144" s="1168"/>
      <c r="AA144" s="1672"/>
      <c r="AB144" s="572"/>
      <c r="AC144" s="572"/>
      <c r="AD144" s="572"/>
      <c r="AE144" s="572"/>
    </row>
    <row s="4068" customFormat="1" customHeight="1" ht="11.25">
      <c r="A145" s="994"/>
      <c r="B145" s="1676"/>
      <c r="C145" s="1676"/>
      <c r="D145" s="347"/>
      <c r="K145" s="1168"/>
      <c r="L145" s="1676"/>
      <c r="M145" s="1676"/>
      <c r="N145" s="1168"/>
      <c r="O145" s="1168"/>
      <c r="P145" s="1168"/>
      <c r="Q145" s="1168"/>
      <c r="R145" s="1676"/>
      <c r="S145" s="1168"/>
      <c r="T145" s="1168"/>
      <c r="U145" s="550"/>
      <c r="V145" s="1168"/>
      <c r="W145" s="1168"/>
      <c r="X145" s="1168"/>
      <c r="Y145" s="1168"/>
      <c r="Z145" s="1168"/>
      <c r="AA145" s="1672"/>
      <c r="AB145" s="572"/>
      <c r="AC145" s="572"/>
      <c r="AD145" s="572"/>
      <c r="AE145" s="572"/>
    </row>
    <row s="4068" customFormat="1" customHeight="1" ht="11.25">
      <c r="A146" s="994"/>
      <c r="B146" s="1676"/>
      <c r="C146" s="1676"/>
      <c r="D146" s="347"/>
      <c r="K146" s="1168"/>
      <c r="L146" s="1676"/>
      <c r="M146" s="1676"/>
      <c r="N146" s="1168"/>
      <c r="O146" s="1168"/>
      <c r="P146" s="1168"/>
      <c r="Q146" s="1168"/>
      <c r="R146" s="1676"/>
      <c r="S146" s="1168"/>
      <c r="T146" s="1168"/>
      <c r="U146" s="550"/>
      <c r="V146" s="1168"/>
      <c r="W146" s="1168"/>
      <c r="X146" s="1168"/>
      <c r="Y146" s="1168"/>
      <c r="Z146" s="1168"/>
      <c r="AA146" s="1672"/>
      <c r="AB146" s="572"/>
      <c r="AC146" s="572"/>
      <c r="AD146" s="572"/>
      <c r="AE146" s="572"/>
    </row>
    <row s="4068" customFormat="1" customHeight="1" ht="11.25">
      <c r="A147" s="994"/>
      <c r="B147" s="1676"/>
      <c r="C147" s="1676"/>
      <c r="D147" s="347"/>
      <c r="K147" s="1168"/>
      <c r="L147" s="1676"/>
      <c r="M147" s="1676"/>
      <c r="N147" s="1168"/>
      <c r="O147" s="1168"/>
      <c r="P147" s="1168"/>
      <c r="Q147" s="1168"/>
      <c r="R147" s="1676"/>
      <c r="S147" s="1168"/>
      <c r="T147" s="1168"/>
      <c r="U147" s="550"/>
      <c r="V147" s="1168"/>
      <c r="W147" s="1168"/>
      <c r="X147" s="1168"/>
      <c r="Y147" s="1168"/>
      <c r="Z147" s="1168"/>
      <c r="AA147" s="1672"/>
      <c r="AB147" s="572"/>
      <c r="AC147" s="572"/>
      <c r="AD147" s="572"/>
      <c r="AE147" s="572"/>
    </row>
    <row s="4068" customFormat="1" customHeight="1" ht="11.25">
      <c r="A148" s="994"/>
      <c r="B148" s="1676"/>
      <c r="C148" s="1676"/>
      <c r="D148" s="347"/>
      <c r="K148" s="1168"/>
      <c r="L148" s="1676"/>
      <c r="M148" s="1676"/>
      <c r="N148" s="1168"/>
      <c r="O148" s="1168"/>
      <c r="P148" s="1168"/>
      <c r="Q148" s="1168"/>
      <c r="R148" s="1676"/>
      <c r="S148" s="1168"/>
      <c r="T148" s="1168"/>
      <c r="U148" s="550"/>
      <c r="V148" s="1168"/>
      <c r="W148" s="1168"/>
      <c r="X148" s="1168"/>
      <c r="Y148" s="1168"/>
      <c r="Z148" s="1168"/>
      <c r="AA148" s="1672"/>
      <c r="AB148" s="572"/>
      <c r="AC148" s="572"/>
      <c r="AD148" s="572"/>
      <c r="AE148" s="572"/>
    </row>
    <row s="4068" customFormat="1" customHeight="1" ht="11.25">
      <c r="A149" s="994"/>
      <c r="B149" s="1676"/>
      <c r="C149" s="1676"/>
      <c r="D149" s="347"/>
      <c r="K149" s="1168"/>
      <c r="L149" s="1676"/>
      <c r="M149" s="1676"/>
      <c r="N149" s="1168"/>
      <c r="O149" s="1168"/>
      <c r="P149" s="1168"/>
      <c r="Q149" s="1168"/>
      <c r="R149" s="1676"/>
      <c r="S149" s="1168"/>
      <c r="T149" s="1168"/>
      <c r="U149" s="550"/>
      <c r="V149" s="1168"/>
      <c r="W149" s="1168"/>
      <c r="X149" s="1168"/>
      <c r="Y149" s="1168"/>
      <c r="Z149" s="1168"/>
      <c r="AA149" s="1672"/>
      <c r="AB149" s="572"/>
      <c r="AC149" s="572"/>
      <c r="AD149" s="572"/>
      <c r="AE149" s="572"/>
    </row>
    <row s="4068" customFormat="1" customHeight="1" ht="11.25">
      <c r="A150" s="994"/>
      <c r="B150" s="1676"/>
      <c r="C150" s="1676"/>
      <c r="D150" s="347"/>
      <c r="K150" s="1168"/>
      <c r="L150" s="1676"/>
      <c r="M150" s="1676"/>
      <c r="N150" s="1168"/>
      <c r="O150" s="1168"/>
      <c r="P150" s="1168"/>
      <c r="Q150" s="1168"/>
      <c r="R150" s="1676"/>
      <c r="S150" s="1168"/>
      <c r="T150" s="1168"/>
      <c r="U150" s="550"/>
      <c r="V150" s="1168"/>
      <c r="W150" s="1168"/>
      <c r="X150" s="1168"/>
      <c r="Y150" s="1168"/>
      <c r="Z150" s="1168"/>
      <c r="AA150" s="1672"/>
      <c r="AB150" s="572"/>
      <c r="AC150" s="572"/>
      <c r="AD150" s="572"/>
      <c r="AE150" s="572"/>
    </row>
    <row s="4068" customFormat="1" customHeight="1" ht="11.25">
      <c r="A151" s="994"/>
      <c r="B151" s="1676"/>
      <c r="C151" s="1676"/>
      <c r="D151" s="347"/>
      <c r="K151" s="1168"/>
      <c r="L151" s="1676"/>
      <c r="M151" s="1676"/>
      <c r="N151" s="1168"/>
      <c r="O151" s="1168"/>
      <c r="P151" s="1168"/>
      <c r="Q151" s="1168"/>
      <c r="R151" s="1676"/>
      <c r="S151" s="1168"/>
      <c r="T151" s="1168"/>
      <c r="U151" s="550"/>
      <c r="V151" s="1168"/>
      <c r="W151" s="1168"/>
      <c r="X151" s="1168"/>
      <c r="Y151" s="1168"/>
      <c r="Z151" s="1168"/>
      <c r="AA151" s="1672"/>
      <c r="AB151" s="572"/>
      <c r="AC151" s="572"/>
      <c r="AD151" s="572"/>
      <c r="AE151" s="572"/>
    </row>
    <row s="4068" customFormat="1" customHeight="1" ht="11.25">
      <c r="A152" s="994"/>
      <c r="B152" s="1676"/>
      <c r="C152" s="1676"/>
      <c r="D152" s="347"/>
      <c r="K152" s="1168"/>
      <c r="L152" s="1676"/>
      <c r="M152" s="1676"/>
      <c r="N152" s="1168"/>
      <c r="O152" s="1168"/>
      <c r="P152" s="1168"/>
      <c r="Q152" s="1168"/>
      <c r="R152" s="1676"/>
      <c r="S152" s="1168"/>
      <c r="T152" s="1168"/>
      <c r="U152" s="550"/>
      <c r="V152" s="1168"/>
      <c r="W152" s="1168"/>
      <c r="X152" s="1168"/>
      <c r="Y152" s="1168"/>
      <c r="Z152" s="1168"/>
      <c r="AA152" s="1672"/>
      <c r="AB152" s="572"/>
      <c r="AC152" s="572"/>
      <c r="AD152" s="572"/>
      <c r="AE152" s="572"/>
    </row>
    <row s="4068" customFormat="1" customHeight="1" ht="11.25">
      <c r="A153" s="994"/>
      <c r="B153" s="1676"/>
      <c r="C153" s="1676"/>
      <c r="D153" s="347"/>
      <c r="K153" s="1168"/>
      <c r="L153" s="1676"/>
      <c r="M153" s="1676"/>
      <c r="N153" s="1168"/>
      <c r="O153" s="1168"/>
      <c r="P153" s="1168"/>
      <c r="Q153" s="1168"/>
      <c r="R153" s="1676"/>
      <c r="S153" s="1168"/>
      <c r="T153" s="1168"/>
      <c r="U153" s="550"/>
      <c r="V153" s="1168"/>
      <c r="W153" s="1168"/>
      <c r="X153" s="1168"/>
      <c r="Y153" s="1168"/>
      <c r="Z153" s="1168"/>
      <c r="AA153" s="1672"/>
      <c r="AB153" s="572"/>
      <c r="AC153" s="572"/>
      <c r="AD153" s="572"/>
      <c r="AE153" s="572"/>
    </row>
    <row s="4068" customFormat="1" customHeight="1" ht="11.25">
      <c r="A154" s="994"/>
      <c r="B154" s="1676"/>
      <c r="C154" s="1676"/>
      <c r="D154" s="347"/>
      <c r="K154" s="1168"/>
      <c r="L154" s="1676"/>
      <c r="M154" s="1676"/>
      <c r="N154" s="1168"/>
      <c r="O154" s="1168"/>
      <c r="P154" s="1168"/>
      <c r="Q154" s="1168"/>
      <c r="R154" s="1676"/>
      <c r="S154" s="1168"/>
      <c r="T154" s="1168"/>
      <c r="U154" s="550"/>
      <c r="V154" s="1168"/>
      <c r="W154" s="1168"/>
      <c r="X154" s="1168"/>
      <c r="Y154" s="1168"/>
      <c r="Z154" s="1168"/>
      <c r="AA154" s="1672"/>
      <c r="AB154" s="572"/>
      <c r="AC154" s="572"/>
      <c r="AD154" s="572"/>
      <c r="AE154" s="572"/>
    </row>
    <row s="4068" customFormat="1" customHeight="1" ht="11.25">
      <c r="A155" s="994"/>
      <c r="B155" s="1676"/>
      <c r="C155" s="1676"/>
      <c r="D155" s="347"/>
      <c r="K155" s="1168"/>
      <c r="L155" s="1676"/>
      <c r="M155" s="1676"/>
      <c r="N155" s="1168"/>
      <c r="O155" s="1168"/>
      <c r="P155" s="1168"/>
      <c r="Q155" s="1168"/>
      <c r="R155" s="1676"/>
      <c r="S155" s="1168"/>
      <c r="T155" s="1168"/>
      <c r="U155" s="550"/>
      <c r="V155" s="1168"/>
      <c r="W155" s="1168"/>
      <c r="X155" s="1168"/>
      <c r="Y155" s="1168"/>
      <c r="Z155" s="1168"/>
      <c r="AA155" s="1672"/>
      <c r="AB155" s="572"/>
      <c r="AC155" s="572"/>
      <c r="AD155" s="572"/>
      <c r="AE155" s="572"/>
    </row>
    <row s="4068" customFormat="1" customHeight="1" ht="11.25">
      <c r="A156" s="994"/>
      <c r="B156" s="1676"/>
      <c r="C156" s="1676"/>
      <c r="D156" s="347"/>
      <c r="K156" s="1168"/>
      <c r="L156" s="1676"/>
      <c r="M156" s="1676"/>
      <c r="N156" s="1168"/>
      <c r="O156" s="1168"/>
      <c r="P156" s="1168"/>
      <c r="Q156" s="1168"/>
      <c r="R156" s="1676"/>
      <c r="S156" s="1168"/>
      <c r="T156" s="1168"/>
      <c r="U156" s="550"/>
      <c r="V156" s="1168"/>
      <c r="W156" s="1168"/>
      <c r="X156" s="1168"/>
      <c r="Y156" s="1168"/>
      <c r="Z156" s="1168"/>
      <c r="AA156" s="1672"/>
      <c r="AB156" s="572"/>
      <c r="AC156" s="572"/>
      <c r="AD156" s="572"/>
      <c r="AE156" s="572"/>
    </row>
    <row s="4068" customFormat="1" customHeight="1" ht="11.25">
      <c r="A157" s="994"/>
      <c r="B157" s="1676"/>
      <c r="C157" s="1676"/>
      <c r="D157" s="347"/>
      <c r="K157" s="1168"/>
      <c r="L157" s="1676"/>
      <c r="M157" s="1676"/>
      <c r="N157" s="1168"/>
      <c r="O157" s="1168"/>
      <c r="P157" s="1168"/>
      <c r="Q157" s="1168"/>
      <c r="R157" s="1676"/>
      <c r="S157" s="1168"/>
      <c r="T157" s="1168"/>
      <c r="U157" s="550"/>
      <c r="V157" s="1168"/>
      <c r="W157" s="1168"/>
      <c r="X157" s="1168"/>
      <c r="Y157" s="1168"/>
      <c r="Z157" s="1168"/>
      <c r="AA157" s="1672"/>
      <c r="AB157" s="572"/>
      <c r="AC157" s="572"/>
      <c r="AD157" s="572"/>
      <c r="AE157" s="572"/>
    </row>
    <row s="4068" customFormat="1" customHeight="1" ht="11.25">
      <c r="A158" s="994"/>
      <c r="B158" s="1676"/>
      <c r="C158" s="1676"/>
      <c r="D158" s="347"/>
      <c r="K158" s="1168"/>
      <c r="L158" s="1676"/>
      <c r="M158" s="1676"/>
      <c r="N158" s="1168"/>
      <c r="O158" s="1168"/>
      <c r="P158" s="1168"/>
      <c r="Q158" s="1168"/>
      <c r="R158" s="1676"/>
      <c r="S158" s="1168"/>
      <c r="T158" s="1168"/>
      <c r="U158" s="550"/>
      <c r="V158" s="1168"/>
      <c r="W158" s="1168"/>
      <c r="X158" s="1168"/>
      <c r="Y158" s="1168"/>
      <c r="Z158" s="1168"/>
      <c r="AA158" s="1672"/>
      <c r="AB158" s="572"/>
      <c r="AC158" s="572"/>
      <c r="AD158" s="572"/>
      <c r="AE158" s="572"/>
    </row>
    <row s="4068" customFormat="1" customHeight="1" ht="11.25">
      <c r="A159" s="994"/>
      <c r="B159" s="1676"/>
      <c r="C159" s="1676"/>
      <c r="D159" s="347"/>
      <c r="K159" s="1168"/>
      <c r="L159" s="1676"/>
      <c r="M159" s="1676"/>
      <c r="N159" s="1168"/>
      <c r="O159" s="1168"/>
      <c r="P159" s="1168"/>
      <c r="Q159" s="1168"/>
      <c r="R159" s="1676"/>
      <c r="S159" s="1168"/>
      <c r="T159" s="1168"/>
      <c r="U159" s="550"/>
      <c r="V159" s="1168"/>
      <c r="W159" s="1168"/>
      <c r="X159" s="1168"/>
      <c r="Y159" s="1168"/>
      <c r="Z159" s="1168"/>
      <c r="AA159" s="1672"/>
      <c r="AB159" s="572"/>
      <c r="AC159" s="572"/>
      <c r="AD159" s="572"/>
      <c r="AE159" s="572"/>
    </row>
    <row s="4068" customFormat="1" customHeight="1" ht="11.25">
      <c r="A160" s="994"/>
      <c r="B160" s="1676"/>
      <c r="C160" s="1676"/>
      <c r="D160" s="347"/>
      <c r="K160" s="1168"/>
      <c r="L160" s="1676"/>
      <c r="M160" s="1676"/>
      <c r="N160" s="1168"/>
      <c r="O160" s="1168"/>
      <c r="P160" s="1168"/>
      <c r="Q160" s="1168"/>
      <c r="R160" s="1676"/>
      <c r="S160" s="1168"/>
      <c r="T160" s="1168"/>
      <c r="U160" s="550"/>
      <c r="V160" s="1168"/>
      <c r="W160" s="1168"/>
      <c r="X160" s="1168"/>
      <c r="Y160" s="1168"/>
      <c r="Z160" s="1168"/>
      <c r="AA160" s="1672"/>
      <c r="AB160" s="572"/>
      <c r="AC160" s="572"/>
      <c r="AD160" s="572"/>
      <c r="AE160" s="572"/>
    </row>
    <row s="4068" customFormat="1" customHeight="1" ht="11.25">
      <c r="A161" s="994"/>
      <c r="B161" s="1676"/>
      <c r="C161" s="1676"/>
      <c r="D161" s="347"/>
      <c r="K161" s="1168"/>
      <c r="L161" s="1676"/>
      <c r="M161" s="1676"/>
      <c r="N161" s="1168"/>
      <c r="O161" s="1168"/>
      <c r="P161" s="1168"/>
      <c r="Q161" s="1168"/>
      <c r="R161" s="1676"/>
      <c r="S161" s="1168"/>
      <c r="T161" s="1168"/>
      <c r="U161" s="550"/>
      <c r="V161" s="1168"/>
      <c r="W161" s="1168"/>
      <c r="X161" s="1168"/>
      <c r="Y161" s="1168"/>
      <c r="Z161" s="1168"/>
      <c r="AA161" s="1672"/>
      <c r="AB161" s="572"/>
      <c r="AC161" s="572"/>
      <c r="AD161" s="572"/>
      <c r="AE161" s="572"/>
    </row>
    <row s="4068" customFormat="1" customHeight="1" ht="11.25">
      <c r="A162" s="994"/>
      <c r="B162" s="1676"/>
      <c r="C162" s="1676"/>
      <c r="D162" s="347"/>
      <c r="K162" s="1168"/>
      <c r="L162" s="1676"/>
      <c r="M162" s="1676"/>
      <c r="N162" s="1168"/>
      <c r="O162" s="1168"/>
      <c r="P162" s="1168"/>
      <c r="Q162" s="1168"/>
      <c r="R162" s="1676"/>
      <c r="S162" s="1168"/>
      <c r="T162" s="1168"/>
      <c r="U162" s="550"/>
      <c r="V162" s="1168"/>
      <c r="W162" s="1168"/>
      <c r="X162" s="1168"/>
      <c r="Y162" s="1168"/>
      <c r="Z162" s="1168"/>
      <c r="AA162" s="1672"/>
      <c r="AB162" s="572"/>
      <c r="AC162" s="572"/>
      <c r="AD162" s="572"/>
      <c r="AE162" s="572"/>
    </row>
    <row s="4068" customFormat="1" customHeight="1" ht="11.25">
      <c r="A163" s="994"/>
      <c r="B163" s="1676"/>
      <c r="C163" s="1676"/>
      <c r="D163" s="347"/>
      <c r="K163" s="1168"/>
      <c r="L163" s="1676"/>
      <c r="M163" s="1676"/>
      <c r="N163" s="1168"/>
      <c r="O163" s="1168"/>
      <c r="P163" s="1168"/>
      <c r="Q163" s="1168"/>
      <c r="R163" s="1676"/>
      <c r="S163" s="1168"/>
      <c r="T163" s="1168"/>
      <c r="U163" s="550"/>
      <c r="V163" s="1168"/>
      <c r="W163" s="1168"/>
      <c r="X163" s="1168"/>
      <c r="Y163" s="1168"/>
      <c r="Z163" s="1168"/>
      <c r="AA163" s="1672"/>
      <c r="AB163" s="572"/>
      <c r="AC163" s="572"/>
      <c r="AD163" s="572"/>
      <c r="AE163" s="572"/>
    </row>
    <row s="4068" customFormat="1" customHeight="1" ht="11.25">
      <c r="A164" s="994"/>
      <c r="B164" s="1676"/>
      <c r="C164" s="1676"/>
      <c r="D164" s="347"/>
      <c r="K164" s="1168"/>
      <c r="L164" s="1676"/>
      <c r="M164" s="1676"/>
      <c r="N164" s="1168"/>
      <c r="O164" s="1168"/>
      <c r="P164" s="1168"/>
      <c r="Q164" s="1168"/>
      <c r="R164" s="1676"/>
      <c r="S164" s="1168"/>
      <c r="T164" s="1168"/>
      <c r="U164" s="550"/>
      <c r="V164" s="1168"/>
      <c r="W164" s="1168"/>
      <c r="X164" s="1168"/>
      <c r="Y164" s="1168"/>
      <c r="Z164" s="1168"/>
      <c r="AA164" s="1672"/>
      <c r="AB164" s="572"/>
      <c r="AC164" s="572"/>
      <c r="AD164" s="572"/>
      <c r="AE164" s="572"/>
    </row>
    <row s="4068" customFormat="1" customHeight="1" ht="11.25">
      <c r="A165" s="994"/>
      <c r="B165" s="1676"/>
      <c r="C165" s="1676"/>
      <c r="D165" s="347"/>
      <c r="K165" s="1168"/>
      <c r="L165" s="1676"/>
      <c r="M165" s="1676"/>
      <c r="N165" s="1168"/>
      <c r="O165" s="1168"/>
      <c r="P165" s="1168"/>
      <c r="Q165" s="1168"/>
      <c r="R165" s="1676"/>
      <c r="S165" s="1168"/>
      <c r="T165" s="1168"/>
      <c r="U165" s="550"/>
      <c r="V165" s="1168"/>
      <c r="W165" s="1168"/>
      <c r="X165" s="1168"/>
      <c r="Y165" s="1168"/>
      <c r="Z165" s="1168"/>
      <c r="AA165" s="1672"/>
      <c r="AB165" s="572"/>
      <c r="AC165" s="572"/>
      <c r="AD165" s="572"/>
      <c r="AE165" s="572"/>
    </row>
    <row s="4068" customFormat="1" customHeight="1" ht="11.25">
      <c r="A166" s="994"/>
      <c r="B166" s="1676"/>
      <c r="C166" s="1676"/>
      <c r="D166" s="347"/>
      <c r="K166" s="1168"/>
      <c r="L166" s="1676"/>
      <c r="M166" s="1676"/>
      <c r="N166" s="1168"/>
      <c r="O166" s="1168"/>
      <c r="P166" s="1168"/>
      <c r="Q166" s="1168"/>
      <c r="R166" s="1676"/>
      <c r="S166" s="1168"/>
      <c r="T166" s="1168"/>
      <c r="U166" s="550"/>
      <c r="V166" s="1168"/>
      <c r="W166" s="1168"/>
      <c r="X166" s="1168"/>
      <c r="Y166" s="1168"/>
      <c r="Z166" s="1168"/>
      <c r="AA166" s="1672"/>
      <c r="AB166" s="572"/>
      <c r="AC166" s="572"/>
      <c r="AD166" s="572"/>
      <c r="AE166" s="572"/>
    </row>
    <row s="4068" customFormat="1" customHeight="1" ht="11.25">
      <c r="A167" s="994"/>
      <c r="B167" s="1676"/>
      <c r="C167" s="1676"/>
      <c r="D167" s="347"/>
      <c r="K167" s="1168"/>
      <c r="L167" s="1676"/>
      <c r="M167" s="1676"/>
      <c r="N167" s="1168"/>
      <c r="O167" s="1168"/>
      <c r="P167" s="1168"/>
      <c r="Q167" s="1168"/>
      <c r="R167" s="1676"/>
      <c r="S167" s="1168"/>
      <c r="T167" s="1168"/>
      <c r="U167" s="550"/>
      <c r="V167" s="1168"/>
      <c r="W167" s="1168"/>
      <c r="X167" s="1168"/>
      <c r="Y167" s="1168"/>
      <c r="Z167" s="1168"/>
      <c r="AA167" s="1672"/>
      <c r="AB167" s="572"/>
      <c r="AC167" s="572"/>
      <c r="AD167" s="572"/>
      <c r="AE167" s="572"/>
    </row>
    <row s="4068" customFormat="1" customHeight="1" ht="11.25">
      <c r="A168" s="994"/>
      <c r="B168" s="1676"/>
      <c r="C168" s="1676"/>
      <c r="D168" s="347"/>
      <c r="K168" s="1168"/>
      <c r="L168" s="1676"/>
      <c r="M168" s="1676"/>
      <c r="N168" s="1168"/>
      <c r="O168" s="1168"/>
      <c r="P168" s="1168"/>
      <c r="Q168" s="1168"/>
      <c r="R168" s="1676"/>
      <c r="S168" s="1168"/>
      <c r="T168" s="1168"/>
      <c r="U168" s="550"/>
      <c r="V168" s="1168"/>
      <c r="W168" s="1168"/>
      <c r="X168" s="1168"/>
      <c r="Y168" s="1168"/>
      <c r="Z168" s="1168"/>
      <c r="AA168" s="1672"/>
      <c r="AB168" s="572"/>
      <c r="AC168" s="572"/>
      <c r="AD168" s="572"/>
      <c r="AE168" s="572"/>
    </row>
    <row s="4068" customFormat="1" customHeight="1" ht="11.25">
      <c r="A169" s="994"/>
      <c r="B169" s="1676"/>
      <c r="C169" s="1676"/>
      <c r="D169" s="347"/>
      <c r="K169" s="1168"/>
      <c r="L169" s="1676"/>
      <c r="M169" s="1676"/>
      <c r="N169" s="1168"/>
      <c r="O169" s="1168"/>
      <c r="P169" s="1168"/>
      <c r="Q169" s="1168"/>
      <c r="R169" s="1676"/>
      <c r="S169" s="1168"/>
      <c r="T169" s="1168"/>
      <c r="U169" s="550"/>
      <c r="V169" s="1168"/>
      <c r="W169" s="1168"/>
      <c r="X169" s="1168"/>
      <c r="Y169" s="1168"/>
      <c r="Z169" s="1168"/>
      <c r="AA169" s="1672"/>
      <c r="AB169" s="572"/>
      <c r="AC169" s="572"/>
      <c r="AD169" s="572"/>
      <c r="AE169" s="572"/>
    </row>
    <row s="4068" customFormat="1" customHeight="1" ht="11.25">
      <c r="A170" s="994"/>
      <c r="B170" s="1676"/>
      <c r="C170" s="1676"/>
      <c r="D170" s="347"/>
      <c r="K170" s="1168"/>
      <c r="L170" s="1676"/>
      <c r="M170" s="1676"/>
      <c r="N170" s="1168"/>
      <c r="O170" s="1168"/>
      <c r="P170" s="1168"/>
      <c r="Q170" s="1168"/>
      <c r="R170" s="1676"/>
      <c r="S170" s="1168"/>
      <c r="T170" s="1168"/>
      <c r="U170" s="550"/>
      <c r="V170" s="1168"/>
      <c r="W170" s="1168"/>
      <c r="X170" s="1168"/>
      <c r="Y170" s="1168"/>
      <c r="Z170" s="1168"/>
      <c r="AA170" s="1672"/>
      <c r="AB170" s="572"/>
      <c r="AC170" s="572"/>
      <c r="AD170" s="572"/>
      <c r="AE170" s="572"/>
    </row>
    <row s="4068" customFormat="1" customHeight="1" ht="11.25">
      <c r="A171" s="994"/>
      <c r="B171" s="1676"/>
      <c r="C171" s="1676"/>
      <c r="D171" s="347"/>
      <c r="K171" s="1168"/>
      <c r="L171" s="1676"/>
      <c r="M171" s="1676"/>
      <c r="N171" s="1168"/>
      <c r="O171" s="1168"/>
      <c r="P171" s="1168"/>
      <c r="Q171" s="1168"/>
      <c r="R171" s="1676"/>
      <c r="S171" s="1168"/>
      <c r="T171" s="1168"/>
      <c r="U171" s="550"/>
      <c r="V171" s="1168"/>
      <c r="W171" s="1168"/>
      <c r="X171" s="1168"/>
      <c r="Y171" s="1168"/>
      <c r="Z171" s="1168"/>
      <c r="AA171" s="1672"/>
      <c r="AB171" s="572"/>
      <c r="AC171" s="572"/>
      <c r="AD171" s="572"/>
      <c r="AE171" s="572"/>
    </row>
    <row s="4068" customFormat="1" customHeight="1" ht="11.25">
      <c r="A172" s="994"/>
      <c r="B172" s="1676"/>
      <c r="C172" s="1676"/>
      <c r="D172" s="347"/>
      <c r="K172" s="1168"/>
      <c r="L172" s="1676"/>
      <c r="M172" s="1676"/>
      <c r="N172" s="1168"/>
      <c r="O172" s="1168"/>
      <c r="P172" s="1168"/>
      <c r="Q172" s="1168"/>
      <c r="R172" s="1676"/>
      <c r="S172" s="1168"/>
      <c r="T172" s="1168"/>
      <c r="U172" s="550"/>
      <c r="V172" s="1168"/>
      <c r="W172" s="1168"/>
      <c r="X172" s="1168"/>
      <c r="Y172" s="1168"/>
      <c r="Z172" s="1168"/>
      <c r="AA172" s="1672"/>
      <c r="AB172" s="572"/>
      <c r="AC172" s="572"/>
      <c r="AD172" s="572"/>
      <c r="AE172" s="572"/>
    </row>
    <row s="4068" customFormat="1" customHeight="1" ht="11.25">
      <c r="A173" s="994"/>
      <c r="B173" s="1676"/>
      <c r="C173" s="1676"/>
      <c r="D173" s="347"/>
      <c r="K173" s="1168"/>
      <c r="L173" s="1676"/>
      <c r="M173" s="1676"/>
      <c r="N173" s="1168"/>
      <c r="O173" s="1168"/>
      <c r="P173" s="1168"/>
      <c r="Q173" s="1168"/>
      <c r="R173" s="1676"/>
      <c r="S173" s="1168"/>
      <c r="T173" s="1168"/>
      <c r="U173" s="550"/>
      <c r="V173" s="1168"/>
      <c r="W173" s="1168"/>
      <c r="X173" s="1168"/>
      <c r="Y173" s="1168"/>
      <c r="Z173" s="1168"/>
      <c r="AA173" s="1672"/>
      <c r="AB173" s="572"/>
      <c r="AC173" s="572"/>
      <c r="AD173" s="572"/>
      <c r="AE173" s="572"/>
    </row>
    <row s="4068" customFormat="1" customHeight="1" ht="11.25">
      <c r="A174" s="994"/>
      <c r="B174" s="1676"/>
      <c r="C174" s="1676"/>
      <c r="D174" s="347"/>
      <c r="K174" s="1168"/>
      <c r="L174" s="1676"/>
      <c r="M174" s="1676"/>
      <c r="N174" s="1168"/>
      <c r="O174" s="1168"/>
      <c r="P174" s="1168"/>
      <c r="Q174" s="1168"/>
      <c r="R174" s="1676"/>
      <c r="S174" s="1168"/>
      <c r="T174" s="1168"/>
      <c r="U174" s="550"/>
      <c r="V174" s="1168"/>
      <c r="W174" s="1168"/>
      <c r="X174" s="1168"/>
      <c r="Y174" s="1168"/>
      <c r="Z174" s="1168"/>
      <c r="AA174" s="1672"/>
      <c r="AB174" s="572"/>
      <c r="AC174" s="572"/>
      <c r="AD174" s="572"/>
      <c r="AE174" s="572"/>
    </row>
    <row s="4068" customFormat="1" customHeight="1" ht="11.25">
      <c r="A175" s="994"/>
      <c r="B175" s="1676"/>
      <c r="C175" s="1676"/>
      <c r="D175" s="347"/>
      <c r="K175" s="1168"/>
      <c r="L175" s="1676"/>
      <c r="M175" s="1676"/>
      <c r="N175" s="1168"/>
      <c r="O175" s="1168"/>
      <c r="P175" s="1168"/>
      <c r="Q175" s="1168"/>
      <c r="R175" s="1676"/>
      <c r="S175" s="1168"/>
      <c r="T175" s="1168"/>
      <c r="U175" s="550"/>
      <c r="V175" s="1168"/>
      <c r="W175" s="1168"/>
      <c r="X175" s="1168"/>
      <c r="Y175" s="1168"/>
      <c r="Z175" s="1168"/>
      <c r="AA175" s="1672"/>
      <c r="AB175" s="572"/>
      <c r="AC175" s="572"/>
      <c r="AD175" s="572"/>
      <c r="AE175" s="572"/>
    </row>
    <row s="4068" customFormat="1" customHeight="1" ht="11.25">
      <c r="A176" s="994"/>
      <c r="B176" s="1676"/>
      <c r="C176" s="1676"/>
      <c r="D176" s="347"/>
      <c r="K176" s="1168"/>
      <c r="L176" s="1676"/>
      <c r="M176" s="1676"/>
      <c r="N176" s="1168"/>
      <c r="O176" s="1168"/>
      <c r="P176" s="1168"/>
      <c r="Q176" s="1168"/>
      <c r="R176" s="1676"/>
      <c r="S176" s="1168"/>
      <c r="T176" s="1168"/>
      <c r="U176" s="550"/>
      <c r="V176" s="1168"/>
      <c r="W176" s="1168"/>
      <c r="X176" s="1168"/>
      <c r="Y176" s="1168"/>
      <c r="Z176" s="1168"/>
      <c r="AA176" s="1672"/>
      <c r="AB176" s="572"/>
      <c r="AC176" s="572"/>
      <c r="AD176" s="572"/>
      <c r="AE176" s="572"/>
    </row>
    <row s="4068" customFormat="1" customHeight="1" ht="11.25">
      <c r="A177" s="994"/>
      <c r="B177" s="1676"/>
      <c r="C177" s="1676"/>
      <c r="D177" s="347"/>
      <c r="K177" s="1168"/>
      <c r="L177" s="1676"/>
      <c r="M177" s="1676"/>
      <c r="N177" s="1168"/>
      <c r="O177" s="1168"/>
      <c r="P177" s="1168"/>
      <c r="Q177" s="1168"/>
      <c r="R177" s="1676"/>
      <c r="S177" s="1168"/>
      <c r="T177" s="1168"/>
      <c r="U177" s="550"/>
      <c r="V177" s="1168"/>
      <c r="W177" s="1168"/>
      <c r="X177" s="1168"/>
      <c r="Y177" s="1168"/>
      <c r="Z177" s="1168"/>
      <c r="AA177" s="1672"/>
      <c r="AB177" s="572"/>
      <c r="AC177" s="572"/>
      <c r="AD177" s="572"/>
      <c r="AE177" s="572"/>
    </row>
    <row s="4068" customFormat="1" customHeight="1" ht="11.25">
      <c r="A178" s="994"/>
      <c r="B178" s="1676"/>
      <c r="C178" s="1676"/>
      <c r="D178" s="347"/>
      <c r="K178" s="1168"/>
      <c r="L178" s="1676"/>
      <c r="M178" s="1676"/>
      <c r="N178" s="1168"/>
      <c r="O178" s="1168"/>
      <c r="P178" s="1168"/>
      <c r="Q178" s="1168"/>
      <c r="R178" s="1676"/>
      <c r="S178" s="1168"/>
      <c r="T178" s="1168"/>
      <c r="U178" s="550"/>
      <c r="V178" s="1168"/>
      <c r="W178" s="1168"/>
      <c r="X178" s="1168"/>
      <c r="Y178" s="1168"/>
      <c r="Z178" s="1168"/>
      <c r="AA178" s="1672"/>
      <c r="AB178" s="572"/>
      <c r="AC178" s="572"/>
      <c r="AD178" s="572"/>
      <c r="AE178" s="572"/>
    </row>
    <row s="4068" customFormat="1" customHeight="1" ht="11.25">
      <c r="A179" s="994"/>
      <c r="B179" s="1676"/>
      <c r="C179" s="1676"/>
      <c r="D179" s="347"/>
      <c r="K179" s="1168"/>
      <c r="L179" s="1676"/>
      <c r="M179" s="1676"/>
      <c r="N179" s="1168"/>
      <c r="O179" s="1168"/>
      <c r="P179" s="1168"/>
      <c r="Q179" s="1168"/>
      <c r="R179" s="1676"/>
      <c r="S179" s="1168"/>
      <c r="T179" s="1168"/>
      <c r="U179" s="550"/>
      <c r="V179" s="1168"/>
      <c r="W179" s="1168"/>
      <c r="X179" s="1168"/>
      <c r="Y179" s="1168"/>
      <c r="Z179" s="1168"/>
      <c r="AA179" s="1672"/>
      <c r="AB179" s="572"/>
      <c r="AC179" s="572"/>
      <c r="AD179" s="572"/>
      <c r="AE179" s="572"/>
    </row>
    <row s="4068" customFormat="1" customHeight="1" ht="11.25">
      <c r="A180" s="994"/>
      <c r="B180" s="1676"/>
      <c r="C180" s="1676"/>
      <c r="D180" s="347"/>
      <c r="K180" s="1168"/>
      <c r="L180" s="1676"/>
      <c r="M180" s="1676"/>
      <c r="N180" s="1168"/>
      <c r="O180" s="1168"/>
      <c r="P180" s="1168"/>
      <c r="Q180" s="1168"/>
      <c r="R180" s="1676"/>
      <c r="S180" s="1168"/>
      <c r="T180" s="1168"/>
      <c r="U180" s="550"/>
      <c r="V180" s="1168"/>
      <c r="W180" s="1168"/>
      <c r="X180" s="1168"/>
      <c r="Y180" s="1168"/>
      <c r="Z180" s="1168"/>
      <c r="AA180" s="1672"/>
      <c r="AB180" s="572"/>
      <c r="AC180" s="572"/>
      <c r="AD180" s="572"/>
      <c r="AE180" s="572"/>
    </row>
    <row s="4068" customFormat="1" customHeight="1" ht="11.25">
      <c r="A181" s="994"/>
      <c r="B181" s="1676"/>
      <c r="C181" s="1676"/>
      <c r="D181" s="347"/>
      <c r="K181" s="1168"/>
      <c r="L181" s="1676"/>
      <c r="M181" s="1676"/>
      <c r="N181" s="1168"/>
      <c r="O181" s="1168"/>
      <c r="P181" s="1168"/>
      <c r="Q181" s="1168"/>
      <c r="R181" s="1676"/>
      <c r="S181" s="1168"/>
      <c r="T181" s="1168"/>
      <c r="U181" s="550"/>
      <c r="V181" s="1168"/>
      <c r="W181" s="1168"/>
      <c r="X181" s="1168"/>
      <c r="Y181" s="1168"/>
      <c r="Z181" s="1168"/>
      <c r="AA181" s="1672"/>
      <c r="AB181" s="572"/>
      <c r="AC181" s="572"/>
      <c r="AD181" s="572"/>
      <c r="AE181" s="572"/>
    </row>
    <row s="4068" customFormat="1" customHeight="1" ht="11.25">
      <c r="A182" s="994"/>
      <c r="B182" s="1676"/>
      <c r="C182" s="1676"/>
      <c r="D182" s="347"/>
      <c r="K182" s="1168"/>
      <c r="L182" s="1676"/>
      <c r="M182" s="1676"/>
      <c r="N182" s="1168"/>
      <c r="O182" s="1168"/>
      <c r="P182" s="1168"/>
      <c r="Q182" s="1168"/>
      <c r="R182" s="1676"/>
      <c r="S182" s="1168"/>
      <c r="T182" s="1168"/>
      <c r="U182" s="550"/>
      <c r="V182" s="1168"/>
      <c r="W182" s="1168"/>
      <c r="X182" s="1168"/>
      <c r="Y182" s="1168"/>
      <c r="Z182" s="1168"/>
      <c r="AA182" s="1672"/>
      <c r="AB182" s="572"/>
      <c r="AC182" s="572"/>
      <c r="AD182" s="572"/>
      <c r="AE182" s="572"/>
    </row>
    <row s="4068" customFormat="1" customHeight="1" ht="11.25">
      <c r="A183" s="994"/>
      <c r="B183" s="1676"/>
      <c r="C183" s="1676"/>
      <c r="D183" s="347"/>
      <c r="K183" s="1168"/>
      <c r="L183" s="1676"/>
      <c r="M183" s="1676"/>
      <c r="N183" s="1168"/>
      <c r="O183" s="1168"/>
      <c r="P183" s="1168"/>
      <c r="Q183" s="1168"/>
      <c r="R183" s="1676"/>
      <c r="S183" s="1168"/>
      <c r="T183" s="1168"/>
      <c r="U183" s="550"/>
      <c r="V183" s="1168"/>
      <c r="W183" s="1168"/>
      <c r="X183" s="1168"/>
      <c r="Y183" s="1168"/>
      <c r="Z183" s="1168"/>
      <c r="AA183" s="1672"/>
      <c r="AB183" s="572"/>
      <c r="AC183" s="572"/>
      <c r="AD183" s="572"/>
      <c r="AE183" s="572"/>
    </row>
    <row s="4068" customFormat="1" customHeight="1" ht="11.25">
      <c r="A184" s="994"/>
      <c r="B184" s="1676"/>
      <c r="C184" s="1676"/>
      <c r="D184" s="347"/>
      <c r="K184" s="1168"/>
      <c r="L184" s="1676"/>
      <c r="M184" s="1676"/>
      <c r="N184" s="1168"/>
      <c r="O184" s="1168"/>
      <c r="P184" s="1168"/>
      <c r="Q184" s="1168"/>
      <c r="R184" s="1676"/>
      <c r="S184" s="1168"/>
      <c r="T184" s="1168"/>
      <c r="U184" s="550"/>
      <c r="V184" s="1168"/>
      <c r="W184" s="1168"/>
      <c r="X184" s="1168"/>
      <c r="Y184" s="1168"/>
      <c r="Z184" s="1168"/>
      <c r="AA184" s="1672"/>
      <c r="AB184" s="572"/>
      <c r="AC184" s="572"/>
      <c r="AD184" s="572"/>
      <c r="AE184" s="572"/>
    </row>
    <row s="4068" customFormat="1" customHeight="1" ht="11.25">
      <c r="A185" s="994"/>
      <c r="B185" s="1676"/>
      <c r="C185" s="1676"/>
      <c r="D185" s="347"/>
      <c r="K185" s="1168"/>
      <c r="L185" s="1676"/>
      <c r="M185" s="1676"/>
      <c r="N185" s="1168"/>
      <c r="O185" s="1168"/>
      <c r="P185" s="1168"/>
      <c r="Q185" s="1168"/>
      <c r="R185" s="1676"/>
      <c r="S185" s="1168"/>
      <c r="T185" s="1168"/>
      <c r="U185" s="550"/>
      <c r="V185" s="1168"/>
      <c r="W185" s="1168"/>
      <c r="X185" s="1168"/>
      <c r="Y185" s="1168"/>
      <c r="Z185" s="1168"/>
      <c r="AA185" s="1672"/>
      <c r="AB185" s="572"/>
      <c r="AC185" s="572"/>
      <c r="AD185" s="572"/>
      <c r="AE185" s="572"/>
    </row>
    <row s="4068" customFormat="1" customHeight="1" ht="11.25">
      <c r="A186" s="994"/>
      <c r="B186" s="1676"/>
      <c r="C186" s="1676"/>
      <c r="D186" s="347"/>
      <c r="K186" s="1168"/>
      <c r="L186" s="1676"/>
      <c r="M186" s="1676"/>
      <c r="N186" s="1168"/>
      <c r="O186" s="1168"/>
      <c r="P186" s="1168"/>
      <c r="Q186" s="1168"/>
      <c r="R186" s="1676"/>
      <c r="S186" s="1168"/>
      <c r="T186" s="1168"/>
      <c r="U186" s="550"/>
      <c r="V186" s="1168"/>
      <c r="W186" s="1168"/>
      <c r="X186" s="1168"/>
      <c r="Y186" s="1168"/>
      <c r="Z186" s="1168"/>
      <c r="AA186" s="1672"/>
      <c r="AB186" s="572"/>
      <c r="AC186" s="572"/>
      <c r="AD186" s="572"/>
      <c r="AE186" s="572"/>
    </row>
    <row s="4068" customFormat="1" customHeight="1" ht="11.25">
      <c r="A187" s="994"/>
      <c r="B187" s="1676"/>
      <c r="C187" s="1676"/>
      <c r="D187" s="347"/>
      <c r="K187" s="1168"/>
      <c r="L187" s="1676"/>
      <c r="M187" s="1676"/>
      <c r="N187" s="1168"/>
      <c r="O187" s="1168"/>
      <c r="P187" s="1168"/>
      <c r="Q187" s="1168"/>
      <c r="R187" s="1676"/>
      <c r="S187" s="1168"/>
      <c r="T187" s="1168"/>
      <c r="U187" s="550"/>
      <c r="V187" s="1168"/>
      <c r="W187" s="1168"/>
      <c r="X187" s="1168"/>
      <c r="Y187" s="1168"/>
      <c r="Z187" s="1168"/>
      <c r="AA187" s="1672"/>
      <c r="AB187" s="572"/>
      <c r="AC187" s="572"/>
      <c r="AD187" s="572"/>
      <c r="AE187" s="572"/>
    </row>
    <row s="4068" customFormat="1" customHeight="1" ht="11.25">
      <c r="A188" s="994"/>
      <c r="B188" s="1676"/>
      <c r="C188" s="1676"/>
      <c r="D188" s="347"/>
      <c r="K188" s="1168"/>
      <c r="L188" s="1676"/>
      <c r="M188" s="1676"/>
      <c r="N188" s="1168"/>
      <c r="O188" s="1168"/>
      <c r="P188" s="1168"/>
      <c r="Q188" s="1168"/>
      <c r="R188" s="1676"/>
      <c r="S188" s="1168"/>
      <c r="T188" s="1168"/>
      <c r="U188" s="550"/>
      <c r="V188" s="1168"/>
      <c r="W188" s="1168"/>
      <c r="X188" s="1168"/>
      <c r="Y188" s="1168"/>
      <c r="Z188" s="1168"/>
      <c r="AA188" s="1672"/>
      <c r="AB188" s="572"/>
      <c r="AC188" s="572"/>
      <c r="AD188" s="572"/>
      <c r="AE188" s="572"/>
    </row>
    <row s="4068" customFormat="1" customHeight="1" ht="11.25">
      <c r="A189" s="994"/>
      <c r="B189" s="1676"/>
      <c r="C189" s="1676"/>
      <c r="D189" s="347"/>
      <c r="K189" s="1168"/>
      <c r="L189" s="1676"/>
      <c r="M189" s="1676"/>
      <c r="N189" s="1168"/>
      <c r="O189" s="1168"/>
      <c r="P189" s="1168"/>
      <c r="Q189" s="1168"/>
      <c r="R189" s="1676"/>
      <c r="S189" s="1168"/>
      <c r="T189" s="1168"/>
      <c r="U189" s="550"/>
      <c r="V189" s="1168"/>
      <c r="W189" s="1168"/>
      <c r="X189" s="1168"/>
      <c r="Y189" s="1168"/>
      <c r="Z189" s="1168"/>
      <c r="AA189" s="1672"/>
      <c r="AB189" s="572"/>
      <c r="AC189" s="572"/>
      <c r="AD189" s="572"/>
      <c r="AE189" s="572"/>
    </row>
    <row s="4068" customFormat="1" customHeight="1" ht="11.25">
      <c r="A190" s="994"/>
      <c r="B190" s="1676"/>
      <c r="C190" s="1676"/>
      <c r="D190" s="347"/>
      <c r="K190" s="1168"/>
      <c r="L190" s="1676"/>
      <c r="M190" s="1676"/>
      <c r="N190" s="1168"/>
      <c r="O190" s="1168"/>
      <c r="P190" s="1168"/>
      <c r="Q190" s="1168"/>
      <c r="R190" s="1676"/>
      <c r="S190" s="1168"/>
      <c r="T190" s="1168"/>
      <c r="U190" s="550"/>
      <c r="V190" s="1168"/>
      <c r="W190" s="1168"/>
      <c r="X190" s="1168"/>
      <c r="Y190" s="1168"/>
      <c r="Z190" s="1168"/>
      <c r="AA190" s="1672"/>
      <c r="AB190" s="572"/>
      <c r="AC190" s="572"/>
      <c r="AD190" s="572"/>
      <c r="AE190" s="572"/>
    </row>
    <row s="4068" customFormat="1" customHeight="1" ht="11.25">
      <c r="A191" s="994"/>
      <c r="B191" s="1676"/>
      <c r="C191" s="1676"/>
      <c r="D191" s="347"/>
      <c r="K191" s="1168"/>
      <c r="L191" s="1676"/>
      <c r="M191" s="1676"/>
      <c r="N191" s="1168"/>
      <c r="O191" s="1168"/>
      <c r="P191" s="1168"/>
      <c r="Q191" s="1168"/>
      <c r="R191" s="1676"/>
      <c r="S191" s="1168"/>
      <c r="T191" s="1168"/>
      <c r="U191" s="550"/>
      <c r="V191" s="1168"/>
      <c r="W191" s="1168"/>
      <c r="X191" s="1168"/>
      <c r="Y191" s="1168"/>
      <c r="Z191" s="1168"/>
      <c r="AA191" s="1672"/>
      <c r="AB191" s="572"/>
      <c r="AC191" s="572"/>
      <c r="AD191" s="572"/>
      <c r="AE191" s="572"/>
    </row>
    <row s="4068" customFormat="1" customHeight="1" ht="11.25">
      <c r="A192" s="994"/>
      <c r="B192" s="1676"/>
      <c r="C192" s="1676"/>
      <c r="D192" s="347"/>
      <c r="K192" s="1168"/>
      <c r="L192" s="1676"/>
      <c r="M192" s="1676"/>
      <c r="N192" s="1168"/>
      <c r="O192" s="1168"/>
      <c r="P192" s="1168"/>
      <c r="Q192" s="1168"/>
      <c r="R192" s="1676"/>
      <c r="S192" s="1168"/>
      <c r="T192" s="1168"/>
      <c r="U192" s="550"/>
      <c r="V192" s="1168"/>
      <c r="W192" s="1168"/>
      <c r="X192" s="1168"/>
      <c r="Y192" s="1168"/>
      <c r="Z192" s="1168"/>
      <c r="AA192" s="1672"/>
      <c r="AB192" s="572"/>
      <c r="AC192" s="572"/>
      <c r="AD192" s="572"/>
      <c r="AE192" s="572"/>
    </row>
    <row s="4068" customFormat="1" customHeight="1" ht="11.25">
      <c r="A193" s="994"/>
      <c r="B193" s="1676"/>
      <c r="C193" s="1676"/>
      <c r="D193" s="347"/>
      <c r="K193" s="1168"/>
      <c r="L193" s="1676"/>
      <c r="M193" s="1676"/>
      <c r="N193" s="1168"/>
      <c r="O193" s="1168"/>
      <c r="P193" s="1168"/>
      <c r="Q193" s="1168"/>
      <c r="R193" s="1676"/>
      <c r="S193" s="1168"/>
      <c r="T193" s="1168"/>
      <c r="U193" s="550"/>
      <c r="V193" s="1168"/>
      <c r="W193" s="1168"/>
      <c r="X193" s="1168"/>
      <c r="Y193" s="1168"/>
      <c r="Z193" s="1168"/>
      <c r="AA193" s="1672"/>
      <c r="AB193" s="572"/>
      <c r="AC193" s="572"/>
      <c r="AD193" s="572"/>
      <c r="AE193" s="572"/>
    </row>
    <row s="4068" customFormat="1" customHeight="1" ht="11.25">
      <c r="A194" s="994"/>
      <c r="B194" s="1676"/>
      <c r="C194" s="1676"/>
      <c r="D194" s="347"/>
      <c r="K194" s="1168"/>
      <c r="L194" s="1676"/>
      <c r="M194" s="1676"/>
      <c r="N194" s="1168"/>
      <c r="O194" s="1168"/>
      <c r="P194" s="1168"/>
      <c r="Q194" s="1168"/>
      <c r="R194" s="1676"/>
      <c r="S194" s="1168"/>
      <c r="T194" s="1168"/>
      <c r="U194" s="550"/>
      <c r="V194" s="1168"/>
      <c r="W194" s="1168"/>
      <c r="X194" s="1168"/>
      <c r="Y194" s="1168"/>
      <c r="Z194" s="1168"/>
      <c r="AA194" s="1672"/>
      <c r="AB194" s="572"/>
      <c r="AC194" s="572"/>
      <c r="AD194" s="572"/>
      <c r="AE194" s="572"/>
    </row>
    <row s="4068" customFormat="1" customHeight="1" ht="11.25">
      <c r="A195" s="994"/>
      <c r="B195" s="1676"/>
      <c r="C195" s="1676"/>
      <c r="D195" s="347"/>
      <c r="K195" s="1168"/>
      <c r="L195" s="1676"/>
      <c r="M195" s="1676"/>
      <c r="N195" s="1168"/>
      <c r="O195" s="1168"/>
      <c r="P195" s="1168"/>
      <c r="Q195" s="1168"/>
      <c r="R195" s="1676"/>
      <c r="S195" s="1168"/>
      <c r="T195" s="1168"/>
      <c r="U195" s="550"/>
      <c r="V195" s="1168"/>
      <c r="W195" s="1168"/>
      <c r="X195" s="1168"/>
      <c r="Y195" s="1168"/>
      <c r="Z195" s="1168"/>
      <c r="AA195" s="1672"/>
      <c r="AB195" s="572"/>
      <c r="AC195" s="572"/>
      <c r="AD195" s="572"/>
      <c r="AE195" s="572"/>
    </row>
    <row s="4068" customFormat="1" customHeight="1" ht="11.25">
      <c r="A196" s="994"/>
      <c r="B196" s="1676"/>
      <c r="C196" s="1676"/>
      <c r="D196" s="347"/>
      <c r="K196" s="1168"/>
      <c r="L196" s="1676"/>
      <c r="M196" s="1676"/>
      <c r="N196" s="1168"/>
      <c r="O196" s="1168"/>
      <c r="P196" s="1168"/>
      <c r="Q196" s="1168"/>
      <c r="R196" s="1676"/>
      <c r="S196" s="1168"/>
      <c r="T196" s="1168"/>
      <c r="U196" s="550"/>
      <c r="V196" s="1168"/>
      <c r="W196" s="1168"/>
      <c r="X196" s="1168"/>
      <c r="Y196" s="1168"/>
      <c r="Z196" s="1168"/>
      <c r="AA196" s="1672"/>
      <c r="AB196" s="572"/>
      <c r="AC196" s="572"/>
      <c r="AD196" s="572"/>
      <c r="AE196" s="572"/>
    </row>
    <row s="4068" customFormat="1" customHeight="1" ht="11.25">
      <c r="A197" s="994"/>
      <c r="B197" s="1676"/>
      <c r="C197" s="1676"/>
      <c r="D197" s="347"/>
      <c r="K197" s="1168"/>
      <c r="L197" s="1676"/>
      <c r="M197" s="1676"/>
      <c r="N197" s="1168"/>
      <c r="O197" s="1168"/>
      <c r="P197" s="1168"/>
      <c r="Q197" s="1168"/>
      <c r="R197" s="1676"/>
      <c r="S197" s="1168"/>
      <c r="T197" s="1168"/>
      <c r="U197" s="550"/>
      <c r="V197" s="1168"/>
      <c r="W197" s="1168"/>
      <c r="X197" s="1168"/>
      <c r="Y197" s="1168"/>
      <c r="Z197" s="1168"/>
      <c r="AA197" s="1672"/>
      <c r="AB197" s="572"/>
      <c r="AC197" s="572"/>
      <c r="AD197" s="572"/>
      <c r="AE197" s="572"/>
    </row>
    <row s="4068" customFormat="1" customHeight="1" ht="11.25">
      <c r="A198" s="994"/>
      <c r="B198" s="1676"/>
      <c r="C198" s="1676"/>
      <c r="D198" s="347"/>
      <c r="K198" s="1168"/>
      <c r="L198" s="1676"/>
      <c r="M198" s="1676"/>
      <c r="N198" s="1168"/>
      <c r="O198" s="1168"/>
      <c r="P198" s="1168"/>
      <c r="Q198" s="1168"/>
      <c r="R198" s="1676"/>
      <c r="S198" s="1168"/>
      <c r="T198" s="1168"/>
      <c r="U198" s="550"/>
      <c r="V198" s="1168"/>
      <c r="W198" s="1168"/>
      <c r="X198" s="1168"/>
      <c r="Y198" s="1168"/>
      <c r="Z198" s="1168"/>
      <c r="AA198" s="1672"/>
      <c r="AB198" s="572"/>
      <c r="AC198" s="572"/>
      <c r="AD198" s="572"/>
      <c r="AE198" s="572"/>
    </row>
    <row s="4068" customFormat="1" customHeight="1" ht="11.25">
      <c r="A199" s="994"/>
      <c r="B199" s="1676"/>
      <c r="C199" s="1676"/>
      <c r="D199" s="347"/>
      <c r="K199" s="1168"/>
      <c r="L199" s="1676"/>
      <c r="M199" s="1676"/>
      <c r="N199" s="1168"/>
      <c r="O199" s="1168"/>
      <c r="P199" s="1168"/>
      <c r="Q199" s="1168"/>
      <c r="R199" s="1676"/>
      <c r="S199" s="1168"/>
      <c r="T199" s="1168"/>
      <c r="U199" s="550"/>
      <c r="V199" s="1168"/>
      <c r="W199" s="1168"/>
      <c r="X199" s="1168"/>
      <c r="Y199" s="1168"/>
      <c r="Z199" s="1168"/>
      <c r="AA199" s="1672"/>
      <c r="AB199" s="572"/>
      <c r="AC199" s="572"/>
      <c r="AD199" s="572"/>
      <c r="AE199" s="572"/>
    </row>
    <row s="4068" customFormat="1" customHeight="1" ht="11.25">
      <c r="A200" s="994"/>
      <c r="B200" s="1676"/>
      <c r="C200" s="1676"/>
      <c r="D200" s="347"/>
      <c r="K200" s="1168"/>
      <c r="L200" s="1676"/>
      <c r="M200" s="1676"/>
      <c r="N200" s="1168"/>
      <c r="O200" s="1168"/>
      <c r="P200" s="1168"/>
      <c r="Q200" s="1168"/>
      <c r="R200" s="1676"/>
      <c r="S200" s="1168"/>
      <c r="T200" s="1168"/>
      <c r="U200" s="550"/>
      <c r="V200" s="1168"/>
      <c r="W200" s="1168"/>
      <c r="X200" s="1168"/>
      <c r="Y200" s="1168"/>
      <c r="Z200" s="1168"/>
      <c r="AA200" s="1672"/>
      <c r="AB200" s="572"/>
      <c r="AC200" s="572"/>
      <c r="AD200" s="572"/>
      <c r="AE200" s="572"/>
    </row>
    <row s="4068" customFormat="1" customHeight="1" ht="11.25">
      <c r="A201" s="994"/>
      <c r="B201" s="1676"/>
      <c r="C201" s="1676"/>
      <c r="D201" s="347"/>
      <c r="K201" s="1168"/>
      <c r="L201" s="1676"/>
      <c r="M201" s="1676"/>
      <c r="N201" s="1168"/>
      <c r="O201" s="1168"/>
      <c r="P201" s="1168"/>
      <c r="Q201" s="1168"/>
      <c r="R201" s="1676"/>
      <c r="S201" s="1168"/>
      <c r="T201" s="1168"/>
      <c r="U201" s="550"/>
      <c r="V201" s="1168"/>
      <c r="W201" s="1168"/>
      <c r="X201" s="1168"/>
      <c r="Y201" s="1168"/>
      <c r="Z201" s="1168"/>
      <c r="AA201" s="1672"/>
      <c r="AB201" s="572"/>
      <c r="AC201" s="572"/>
      <c r="AD201" s="572"/>
      <c r="AE201" s="572"/>
    </row>
    <row s="4068" customFormat="1" customHeight="1" ht="11.25">
      <c r="A202" s="994"/>
      <c r="B202" s="1676"/>
      <c r="C202" s="1676"/>
      <c r="D202" s="347"/>
      <c r="K202" s="1168"/>
      <c r="L202" s="1676"/>
      <c r="M202" s="1676"/>
      <c r="N202" s="1168"/>
      <c r="O202" s="1168"/>
      <c r="P202" s="1168"/>
      <c r="Q202" s="1168"/>
      <c r="R202" s="1676"/>
      <c r="S202" s="1168"/>
      <c r="T202" s="1168"/>
      <c r="U202" s="550"/>
      <c r="V202" s="1168"/>
      <c r="W202" s="1168"/>
      <c r="X202" s="1168"/>
      <c r="Y202" s="1168"/>
      <c r="Z202" s="1168"/>
      <c r="AA202" s="1672"/>
      <c r="AB202" s="572"/>
      <c r="AC202" s="572"/>
      <c r="AD202" s="572"/>
      <c r="AE202" s="572"/>
    </row>
    <row s="4068" customFormat="1" customHeight="1" ht="11.25">
      <c r="A203" s="994"/>
      <c r="B203" s="1676"/>
      <c r="C203" s="1676"/>
      <c r="D203" s="347"/>
      <c r="K203" s="1168"/>
      <c r="L203" s="1676"/>
      <c r="M203" s="1676"/>
      <c r="N203" s="1168"/>
      <c r="O203" s="1168"/>
      <c r="P203" s="1168"/>
      <c r="Q203" s="1168"/>
      <c r="R203" s="1676"/>
      <c r="S203" s="1168"/>
      <c r="T203" s="1168"/>
      <c r="U203" s="550"/>
      <c r="V203" s="1168"/>
      <c r="W203" s="1168"/>
      <c r="X203" s="1168"/>
      <c r="Y203" s="1168"/>
      <c r="Z203" s="1168"/>
      <c r="AA203" s="1672"/>
      <c r="AB203" s="572"/>
      <c r="AC203" s="572"/>
      <c r="AD203" s="572"/>
      <c r="AE203" s="572"/>
    </row>
    <row s="4068" customFormat="1" customHeight="1" ht="11.25">
      <c r="A204" s="994"/>
      <c r="B204" s="1676"/>
      <c r="C204" s="1676"/>
      <c r="D204" s="347"/>
      <c r="K204" s="1168"/>
      <c r="L204" s="1676"/>
      <c r="M204" s="1676"/>
      <c r="N204" s="1168"/>
      <c r="O204" s="1168"/>
      <c r="P204" s="1168"/>
      <c r="Q204" s="1168"/>
      <c r="R204" s="1676"/>
      <c r="S204" s="1168"/>
      <c r="T204" s="1168"/>
      <c r="U204" s="550"/>
      <c r="V204" s="1168"/>
      <c r="W204" s="1168"/>
      <c r="X204" s="1168"/>
      <c r="Y204" s="1168"/>
      <c r="Z204" s="1168"/>
      <c r="AA204" s="1672"/>
      <c r="AB204" s="572"/>
      <c r="AC204" s="572"/>
      <c r="AD204" s="572"/>
      <c r="AE204" s="572"/>
    </row>
    <row s="4068" customFormat="1" customHeight="1" ht="11.25">
      <c r="A205" s="994"/>
      <c r="B205" s="1676"/>
      <c r="C205" s="1676"/>
      <c r="D205" s="347"/>
      <c r="K205" s="1168"/>
      <c r="L205" s="1676"/>
      <c r="M205" s="1676"/>
      <c r="N205" s="1168"/>
      <c r="O205" s="1168"/>
      <c r="P205" s="1168"/>
      <c r="Q205" s="1168"/>
      <c r="R205" s="1676"/>
      <c r="S205" s="1168"/>
      <c r="T205" s="1168"/>
      <c r="U205" s="550"/>
      <c r="V205" s="1168"/>
      <c r="W205" s="1168"/>
      <c r="X205" s="1168"/>
      <c r="Y205" s="1168"/>
      <c r="Z205" s="1168"/>
      <c r="AA205" s="1672"/>
      <c r="AB205" s="572"/>
      <c r="AC205" s="572"/>
      <c r="AD205" s="572"/>
      <c r="AE205" s="572"/>
    </row>
    <row s="4068" customFormat="1" customHeight="1" ht="11.25">
      <c r="A206" s="994"/>
      <c r="B206" s="1676"/>
      <c r="C206" s="1676"/>
      <c r="D206" s="347"/>
      <c r="K206" s="1168"/>
      <c r="L206" s="1676"/>
      <c r="M206" s="1676"/>
      <c r="N206" s="1168"/>
      <c r="O206" s="1168"/>
      <c r="P206" s="1168"/>
      <c r="Q206" s="1168"/>
      <c r="R206" s="1676"/>
      <c r="S206" s="1168"/>
      <c r="T206" s="1168"/>
      <c r="U206" s="550"/>
      <c r="V206" s="1168"/>
      <c r="W206" s="1168"/>
      <c r="X206" s="1168"/>
      <c r="Y206" s="1168"/>
      <c r="Z206" s="1168"/>
      <c r="AA206" s="1672"/>
      <c r="AB206" s="572"/>
      <c r="AC206" s="572"/>
      <c r="AD206" s="572"/>
      <c r="AE206" s="572"/>
    </row>
    <row s="4068" customFormat="1" customHeight="1" ht="11.25">
      <c r="A207" s="994"/>
      <c r="B207" s="1676"/>
      <c r="C207" s="1676"/>
      <c r="D207" s="347"/>
      <c r="K207" s="1168"/>
      <c r="L207" s="1676"/>
      <c r="M207" s="1676"/>
      <c r="N207" s="1168"/>
      <c r="O207" s="1168"/>
      <c r="P207" s="1168"/>
      <c r="Q207" s="1168"/>
      <c r="R207" s="1676"/>
      <c r="S207" s="1168"/>
      <c r="T207" s="1168"/>
      <c r="U207" s="550"/>
      <c r="V207" s="1168"/>
      <c r="W207" s="1168"/>
      <c r="X207" s="1168"/>
      <c r="Y207" s="1168"/>
      <c r="Z207" s="1168"/>
      <c r="AA207" s="1672"/>
      <c r="AB207" s="572"/>
      <c r="AC207" s="572"/>
      <c r="AD207" s="572"/>
      <c r="AE207" s="572"/>
    </row>
    <row s="4068" customFormat="1" customHeight="1" ht="11.25">
      <c r="A208" s="994"/>
      <c r="B208" s="1676"/>
      <c r="C208" s="1676"/>
      <c r="D208" s="347"/>
      <c r="K208" s="1168"/>
      <c r="L208" s="1676"/>
      <c r="M208" s="1676"/>
      <c r="N208" s="1168"/>
      <c r="O208" s="1168"/>
      <c r="P208" s="1168"/>
      <c r="Q208" s="1168"/>
      <c r="R208" s="1676"/>
      <c r="S208" s="1168"/>
      <c r="T208" s="1168"/>
      <c r="U208" s="550"/>
      <c r="V208" s="1168"/>
      <c r="W208" s="1168"/>
      <c r="X208" s="1168"/>
      <c r="Y208" s="1168"/>
      <c r="Z208" s="1168"/>
      <c r="AA208" s="1672"/>
      <c r="AB208" s="572"/>
      <c r="AC208" s="572"/>
      <c r="AD208" s="572"/>
      <c r="AE208" s="572"/>
    </row>
    <row s="4068" customFormat="1" customHeight="1" ht="11.25">
      <c r="A209" s="994"/>
      <c r="B209" s="1676"/>
      <c r="C209" s="1676"/>
      <c r="D209" s="347"/>
      <c r="K209" s="1168"/>
      <c r="L209" s="1676"/>
      <c r="M209" s="1676"/>
      <c r="N209" s="1168"/>
      <c r="O209" s="1168"/>
      <c r="P209" s="1168"/>
      <c r="Q209" s="1168"/>
      <c r="R209" s="1676"/>
      <c r="S209" s="1168"/>
      <c r="T209" s="1168"/>
      <c r="U209" s="550"/>
      <c r="V209" s="1168"/>
      <c r="W209" s="1168"/>
      <c r="X209" s="1168"/>
      <c r="Y209" s="1168"/>
      <c r="Z209" s="1168"/>
      <c r="AA209" s="1672"/>
      <c r="AB209" s="572"/>
      <c r="AC209" s="572"/>
      <c r="AD209" s="572"/>
      <c r="AE209" s="572"/>
    </row>
    <row s="4068" customFormat="1" customHeight="1" ht="11.25">
      <c r="A210" s="994"/>
      <c r="B210" s="1676"/>
      <c r="C210" s="1676"/>
      <c r="D210" s="347"/>
      <c r="K210" s="1168"/>
      <c r="L210" s="1676"/>
      <c r="M210" s="1676"/>
      <c r="N210" s="1168"/>
      <c r="O210" s="1168"/>
      <c r="P210" s="1168"/>
      <c r="Q210" s="1168"/>
      <c r="R210" s="1676"/>
      <c r="S210" s="1168"/>
      <c r="T210" s="1168"/>
      <c r="U210" s="550"/>
      <c r="V210" s="1168"/>
      <c r="W210" s="1168"/>
      <c r="X210" s="1168"/>
      <c r="Y210" s="1168"/>
      <c r="Z210" s="1168"/>
      <c r="AA210" s="1672"/>
      <c r="AB210" s="572"/>
      <c r="AC210" s="572"/>
      <c r="AD210" s="572"/>
      <c r="AE210" s="572"/>
    </row>
    <row s="4068" customFormat="1" customHeight="1" ht="11.25">
      <c r="A211" s="994"/>
      <c r="B211" s="1676"/>
      <c r="C211" s="1676"/>
      <c r="D211" s="347"/>
      <c r="K211" s="1168"/>
      <c r="L211" s="1676"/>
      <c r="M211" s="1676"/>
      <c r="N211" s="1168"/>
      <c r="O211" s="1168"/>
      <c r="P211" s="1168"/>
      <c r="Q211" s="1168"/>
      <c r="R211" s="1676"/>
      <c r="S211" s="1168"/>
      <c r="T211" s="1168"/>
      <c r="U211" s="550"/>
      <c r="V211" s="1168"/>
      <c r="W211" s="1168"/>
      <c r="X211" s="1168"/>
      <c r="Y211" s="1168"/>
      <c r="Z211" s="1168"/>
      <c r="AA211" s="1672"/>
      <c r="AB211" s="572"/>
      <c r="AC211" s="572"/>
      <c r="AD211" s="572"/>
      <c r="AE211" s="572"/>
    </row>
    <row s="4068" customFormat="1" customHeight="1" ht="11.25">
      <c r="A212" s="994"/>
      <c r="B212" s="1676"/>
      <c r="C212" s="1676"/>
      <c r="D212" s="347"/>
      <c r="K212" s="1168"/>
      <c r="L212" s="1676"/>
      <c r="M212" s="1676"/>
      <c r="N212" s="1168"/>
      <c r="O212" s="1168"/>
      <c r="P212" s="1168"/>
      <c r="Q212" s="1168"/>
      <c r="R212" s="1676"/>
      <c r="S212" s="1168"/>
      <c r="T212" s="1168"/>
      <c r="U212" s="550"/>
      <c r="V212" s="1168"/>
      <c r="W212" s="1168"/>
      <c r="X212" s="1168"/>
      <c r="Y212" s="1168"/>
      <c r="Z212" s="1168"/>
      <c r="AA212" s="1672"/>
      <c r="AB212" s="572"/>
      <c r="AC212" s="572"/>
      <c r="AD212" s="572"/>
      <c r="AE212" s="572"/>
    </row>
    <row s="4068" customFormat="1" customHeight="1" ht="11.25">
      <c r="A213" s="994"/>
      <c r="B213" s="1676"/>
      <c r="C213" s="1676"/>
      <c r="D213" s="347"/>
      <c r="K213" s="1168"/>
      <c r="L213" s="1676"/>
      <c r="M213" s="1676"/>
      <c r="N213" s="1168"/>
      <c r="O213" s="1168"/>
      <c r="P213" s="1168"/>
      <c r="Q213" s="1168"/>
      <c r="R213" s="1676"/>
      <c r="S213" s="1168"/>
      <c r="T213" s="1168"/>
      <c r="U213" s="550"/>
      <c r="V213" s="1168"/>
      <c r="W213" s="1168"/>
      <c r="X213" s="1168"/>
      <c r="Y213" s="1168"/>
      <c r="Z213" s="1168"/>
      <c r="AA213" s="1672"/>
      <c r="AB213" s="572"/>
      <c r="AC213" s="572"/>
      <c r="AD213" s="572"/>
      <c r="AE213" s="572"/>
    </row>
    <row s="4068" customFormat="1" customHeight="1" ht="11.25">
      <c r="A214" s="994"/>
      <c r="B214" s="1676"/>
      <c r="C214" s="1676"/>
      <c r="D214" s="347"/>
      <c r="K214" s="1168"/>
      <c r="L214" s="1676"/>
      <c r="M214" s="1676"/>
      <c r="N214" s="1168"/>
      <c r="O214" s="1168"/>
      <c r="P214" s="1168"/>
      <c r="Q214" s="1168"/>
      <c r="R214" s="1676"/>
      <c r="S214" s="1168"/>
      <c r="T214" s="1168"/>
      <c r="U214" s="550"/>
      <c r="V214" s="1168"/>
      <c r="W214" s="1168"/>
      <c r="X214" s="1168"/>
      <c r="Y214" s="1168"/>
      <c r="Z214" s="1168"/>
      <c r="AA214" s="1672"/>
      <c r="AB214" s="572"/>
      <c r="AC214" s="572"/>
      <c r="AD214" s="572"/>
      <c r="AE214" s="572"/>
    </row>
    <row s="4068" customFormat="1" customHeight="1" ht="11.25">
      <c r="A215" s="994"/>
      <c r="B215" s="1676"/>
      <c r="C215" s="1676"/>
      <c r="D215" s="347"/>
      <c r="K215" s="1168"/>
      <c r="L215" s="1676"/>
      <c r="M215" s="1676"/>
      <c r="N215" s="1168"/>
      <c r="O215" s="1168"/>
      <c r="P215" s="1168"/>
      <c r="Q215" s="1168"/>
      <c r="R215" s="1676"/>
      <c r="S215" s="1168"/>
      <c r="T215" s="1168"/>
      <c r="U215" s="550"/>
      <c r="V215" s="1168"/>
      <c r="W215" s="1168"/>
      <c r="X215" s="1168"/>
      <c r="Y215" s="1168"/>
      <c r="Z215" s="1168"/>
      <c r="AA215" s="1672"/>
      <c r="AB215" s="572"/>
      <c r="AC215" s="572"/>
      <c r="AD215" s="572"/>
      <c r="AE215" s="572"/>
    </row>
    <row s="4068" customFormat="1" customHeight="1" ht="11.25">
      <c r="A216" s="994"/>
      <c r="B216" s="1676"/>
      <c r="C216" s="1676"/>
      <c r="D216" s="347"/>
      <c r="K216" s="1168"/>
      <c r="L216" s="1676"/>
      <c r="M216" s="1676"/>
      <c r="N216" s="1168"/>
      <c r="O216" s="1168"/>
      <c r="P216" s="1168"/>
      <c r="Q216" s="1168"/>
      <c r="R216" s="1676"/>
      <c r="S216" s="1168"/>
      <c r="T216" s="1168"/>
      <c r="U216" s="550"/>
      <c r="V216" s="1168"/>
      <c r="W216" s="1168"/>
      <c r="X216" s="1168"/>
      <c r="Y216" s="1168"/>
      <c r="Z216" s="1168"/>
      <c r="AA216" s="1672"/>
      <c r="AB216" s="572"/>
      <c r="AC216" s="572"/>
      <c r="AD216" s="572"/>
      <c r="AE216" s="572"/>
    </row>
    <row s="4068" customFormat="1" customHeight="1" ht="11.25">
      <c r="A217" s="994"/>
      <c r="B217" s="1676"/>
      <c r="C217" s="1676"/>
      <c r="D217" s="347"/>
      <c r="K217" s="1168"/>
      <c r="L217" s="1676"/>
      <c r="M217" s="1676"/>
      <c r="N217" s="1168"/>
      <c r="O217" s="1168"/>
      <c r="P217" s="1168"/>
      <c r="Q217" s="1168"/>
      <c r="R217" s="1676"/>
      <c r="S217" s="1168"/>
      <c r="T217" s="1168"/>
      <c r="U217" s="550"/>
      <c r="V217" s="1168"/>
      <c r="W217" s="1168"/>
      <c r="X217" s="1168"/>
      <c r="Y217" s="1168"/>
      <c r="Z217" s="1168"/>
      <c r="AA217" s="1672"/>
      <c r="AB217" s="572"/>
      <c r="AC217" s="572"/>
      <c r="AD217" s="572"/>
      <c r="AE217" s="572"/>
    </row>
    <row s="4068" customFormat="1" customHeight="1" ht="11.25">
      <c r="A218" s="994"/>
      <c r="B218" s="1676"/>
      <c r="C218" s="1676"/>
      <c r="D218" s="347"/>
      <c r="K218" s="1168"/>
      <c r="L218" s="1676"/>
      <c r="M218" s="1676"/>
      <c r="N218" s="1168"/>
      <c r="O218" s="1168"/>
      <c r="P218" s="1168"/>
      <c r="Q218" s="1168"/>
      <c r="R218" s="1676"/>
      <c r="S218" s="1168"/>
      <c r="T218" s="1168"/>
      <c r="U218" s="550"/>
      <c r="V218" s="1168"/>
      <c r="W218" s="1168"/>
      <c r="X218" s="1168"/>
      <c r="Y218" s="1168"/>
      <c r="Z218" s="1168"/>
      <c r="AA218" s="1672"/>
      <c r="AB218" s="572"/>
      <c r="AC218" s="572"/>
      <c r="AD218" s="572"/>
      <c r="AE218" s="572"/>
    </row>
    <row s="4068" customFormat="1" customHeight="1" ht="11.25">
      <c r="A219" s="994"/>
      <c r="B219" s="1676"/>
      <c r="C219" s="1676"/>
      <c r="D219" s="347"/>
      <c r="K219" s="1168"/>
      <c r="L219" s="1676"/>
      <c r="M219" s="1676"/>
      <c r="N219" s="1168"/>
      <c r="O219" s="1168"/>
      <c r="P219" s="1168"/>
      <c r="Q219" s="1168"/>
      <c r="R219" s="1676"/>
      <c r="S219" s="1168"/>
      <c r="T219" s="1168"/>
      <c r="U219" s="550"/>
      <c r="V219" s="1168"/>
      <c r="W219" s="1168"/>
      <c r="X219" s="1168"/>
      <c r="Y219" s="1168"/>
      <c r="Z219" s="1168"/>
      <c r="AA219" s="1672"/>
      <c r="AB219" s="572"/>
      <c r="AC219" s="572"/>
      <c r="AD219" s="572"/>
      <c r="AE219" s="572"/>
    </row>
    <row s="4068" customFormat="1" customHeight="1" ht="11.25">
      <c r="A220" s="994"/>
      <c r="B220" s="1676"/>
      <c r="C220" s="1676"/>
      <c r="D220" s="347"/>
      <c r="K220" s="1168"/>
      <c r="L220" s="1676"/>
      <c r="M220" s="1676"/>
      <c r="N220" s="1168"/>
      <c r="O220" s="1168"/>
      <c r="P220" s="1168"/>
      <c r="Q220" s="1168"/>
      <c r="R220" s="1676"/>
      <c r="S220" s="1168"/>
      <c r="T220" s="1168"/>
      <c r="U220" s="550"/>
      <c r="V220" s="1168"/>
      <c r="W220" s="1168"/>
      <c r="X220" s="1168"/>
      <c r="Y220" s="1168"/>
      <c r="Z220" s="1168"/>
      <c r="AA220" s="1672"/>
      <c r="AB220" s="572"/>
      <c r="AC220" s="572"/>
      <c r="AD220" s="572"/>
      <c r="AE220" s="572"/>
    </row>
    <row s="4068" customFormat="1" customHeight="1" ht="11.25">
      <c r="A221" s="994"/>
      <c r="B221" s="1676"/>
      <c r="C221" s="1676"/>
      <c r="D221" s="347"/>
      <c r="K221" s="1168"/>
      <c r="L221" s="1676"/>
      <c r="M221" s="1676"/>
      <c r="N221" s="1168"/>
      <c r="O221" s="1168"/>
      <c r="P221" s="1168"/>
      <c r="Q221" s="1168"/>
      <c r="R221" s="1676"/>
      <c r="S221" s="1168"/>
      <c r="T221" s="1168"/>
      <c r="U221" s="550"/>
      <c r="V221" s="1168"/>
      <c r="W221" s="1168"/>
      <c r="X221" s="1168"/>
      <c r="Y221" s="1168"/>
      <c r="Z221" s="1168"/>
      <c r="AA221" s="1672"/>
      <c r="AB221" s="572"/>
      <c r="AC221" s="572"/>
      <c r="AD221" s="572"/>
      <c r="AE221" s="572"/>
    </row>
    <row s="4068" customFormat="1" customHeight="1" ht="11.25">
      <c r="A222" s="994"/>
      <c r="B222" s="1676"/>
      <c r="C222" s="1676"/>
      <c r="D222" s="347"/>
      <c r="K222" s="1168"/>
      <c r="L222" s="1676"/>
      <c r="M222" s="1676"/>
      <c r="N222" s="1168"/>
      <c r="O222" s="1168"/>
      <c r="P222" s="1168"/>
      <c r="Q222" s="1168"/>
      <c r="R222" s="1676"/>
      <c r="S222" s="1168"/>
      <c r="T222" s="1168"/>
      <c r="U222" s="550"/>
      <c r="V222" s="1168"/>
      <c r="W222" s="1168"/>
      <c r="X222" s="1168"/>
      <c r="Y222" s="1168"/>
      <c r="Z222" s="1168"/>
      <c r="AA222" s="1672"/>
      <c r="AB222" s="572"/>
      <c r="AC222" s="572"/>
      <c r="AD222" s="572"/>
      <c r="AE222" s="572"/>
    </row>
    <row s="4068" customFormat="1" customHeight="1" ht="11.25">
      <c r="A223" s="994"/>
      <c r="B223" s="1676"/>
      <c r="C223" s="1676"/>
      <c r="D223" s="347"/>
      <c r="K223" s="1168"/>
      <c r="L223" s="1676"/>
      <c r="M223" s="1676"/>
      <c r="N223" s="1168"/>
      <c r="O223" s="1168"/>
      <c r="P223" s="1168"/>
      <c r="Q223" s="1168"/>
      <c r="R223" s="1676"/>
      <c r="S223" s="1168"/>
      <c r="T223" s="1168"/>
      <c r="U223" s="550"/>
      <c r="V223" s="1168"/>
      <c r="W223" s="1168"/>
      <c r="X223" s="1168"/>
      <c r="Y223" s="1168"/>
      <c r="Z223" s="1168"/>
      <c r="AA223" s="1672"/>
      <c r="AB223" s="572"/>
      <c r="AC223" s="572"/>
      <c r="AD223" s="572"/>
      <c r="AE223" s="572"/>
    </row>
    <row s="4068" customFormat="1" customHeight="1" ht="11.25">
      <c r="A224" s="994"/>
      <c r="B224" s="1676"/>
      <c r="C224" s="1676"/>
      <c r="D224" s="347"/>
      <c r="K224" s="1168"/>
      <c r="L224" s="1676"/>
      <c r="M224" s="1676"/>
      <c r="N224" s="1168"/>
      <c r="O224" s="1168"/>
      <c r="P224" s="1168"/>
      <c r="Q224" s="1168"/>
      <c r="R224" s="1676"/>
      <c r="S224" s="1168"/>
      <c r="T224" s="1168"/>
      <c r="U224" s="550"/>
      <c r="V224" s="1168"/>
      <c r="W224" s="1168"/>
      <c r="X224" s="1168"/>
      <c r="Y224" s="1168"/>
      <c r="Z224" s="1168"/>
      <c r="AA224" s="1672"/>
      <c r="AB224" s="572"/>
      <c r="AC224" s="572"/>
      <c r="AD224" s="572"/>
      <c r="AE224" s="572"/>
    </row>
    <row s="4068" customFormat="1" customHeight="1" ht="11.25">
      <c r="A225" s="994"/>
      <c r="B225" s="1676"/>
      <c r="C225" s="1676"/>
      <c r="D225" s="347"/>
      <c r="K225" s="1168"/>
      <c r="L225" s="1676"/>
      <c r="M225" s="1676"/>
      <c r="N225" s="1168"/>
      <c r="O225" s="1168"/>
      <c r="P225" s="1168"/>
      <c r="Q225" s="1168"/>
      <c r="R225" s="1676"/>
      <c r="S225" s="1168"/>
      <c r="T225" s="1168"/>
      <c r="U225" s="550"/>
      <c r="V225" s="1168"/>
      <c r="W225" s="1168"/>
      <c r="X225" s="1168"/>
      <c r="Y225" s="1168"/>
      <c r="Z225" s="1168"/>
      <c r="AA225" s="1672"/>
      <c r="AB225" s="572"/>
      <c r="AC225" s="572"/>
      <c r="AD225" s="572"/>
      <c r="AE225" s="572"/>
    </row>
    <row s="4068" customFormat="1" customHeight="1" ht="11.25">
      <c r="A226" s="994"/>
      <c r="B226" s="1676"/>
      <c r="C226" s="1676"/>
      <c r="D226" s="347"/>
      <c r="K226" s="1168"/>
      <c r="L226" s="1676"/>
      <c r="M226" s="1676"/>
      <c r="N226" s="1168"/>
      <c r="O226" s="1168"/>
      <c r="P226" s="1168"/>
      <c r="Q226" s="1168"/>
      <c r="R226" s="1676"/>
      <c r="S226" s="1168"/>
      <c r="T226" s="1168"/>
      <c r="U226" s="550"/>
      <c r="V226" s="1168"/>
      <c r="W226" s="1168"/>
      <c r="X226" s="1168"/>
      <c r="Y226" s="1168"/>
      <c r="Z226" s="1168"/>
      <c r="AA226" s="1672"/>
      <c r="AB226" s="572"/>
      <c r="AC226" s="572"/>
      <c r="AD226" s="572"/>
      <c r="AE226" s="572"/>
    </row>
    <row s="4068" customFormat="1" customHeight="1" ht="11.25">
      <c r="A227" s="994"/>
      <c r="B227" s="1676"/>
      <c r="C227" s="1676"/>
      <c r="D227" s="347"/>
      <c r="K227" s="1168"/>
      <c r="L227" s="1676"/>
      <c r="M227" s="1676"/>
      <c r="N227" s="1168"/>
      <c r="O227" s="1168"/>
      <c r="P227" s="1168"/>
      <c r="Q227" s="1168"/>
      <c r="R227" s="1676"/>
      <c r="S227" s="1168"/>
      <c r="T227" s="1168"/>
      <c r="U227" s="550"/>
      <c r="V227" s="1168"/>
      <c r="W227" s="1168"/>
      <c r="X227" s="1168"/>
      <c r="Y227" s="1168"/>
      <c r="Z227" s="1168"/>
      <c r="AA227" s="1672"/>
      <c r="AB227" s="572"/>
      <c r="AC227" s="572"/>
      <c r="AD227" s="572"/>
      <c r="AE227" s="572"/>
    </row>
    <row s="4068" customFormat="1" customHeight="1" ht="11.25">
      <c r="A228" s="994"/>
      <c r="B228" s="1676"/>
      <c r="C228" s="1676"/>
      <c r="D228" s="347"/>
      <c r="K228" s="1168"/>
      <c r="L228" s="1676"/>
      <c r="M228" s="1676"/>
      <c r="N228" s="1168"/>
      <c r="O228" s="1168"/>
      <c r="P228" s="1168"/>
      <c r="Q228" s="1168"/>
      <c r="R228" s="1676"/>
      <c r="S228" s="1168"/>
      <c r="T228" s="1168"/>
      <c r="U228" s="550"/>
      <c r="V228" s="1168"/>
      <c r="W228" s="1168"/>
      <c r="X228" s="1168"/>
      <c r="Y228" s="1168"/>
      <c r="Z228" s="1168"/>
      <c r="AA228" s="1672"/>
      <c r="AB228" s="572"/>
      <c r="AC228" s="572"/>
      <c r="AD228" s="572"/>
      <c r="AE228" s="572"/>
    </row>
    <row s="4068" customFormat="1" customHeight="1" ht="11.25">
      <c r="A229" s="994"/>
      <c r="B229" s="1676"/>
      <c r="C229" s="1676"/>
      <c r="D229" s="347"/>
      <c r="K229" s="1168"/>
      <c r="L229" s="1676"/>
      <c r="M229" s="1676"/>
      <c r="N229" s="1168"/>
      <c r="O229" s="1168"/>
      <c r="P229" s="1168"/>
      <c r="Q229" s="1168"/>
      <c r="R229" s="1676"/>
      <c r="S229" s="1168"/>
      <c r="T229" s="1168"/>
      <c r="U229" s="550"/>
      <c r="V229" s="1168"/>
      <c r="W229" s="1168"/>
      <c r="X229" s="1168"/>
      <c r="Y229" s="1168"/>
      <c r="Z229" s="1168"/>
      <c r="AA229" s="1672"/>
      <c r="AB229" s="572"/>
      <c r="AC229" s="572"/>
      <c r="AD229" s="572"/>
      <c r="AE229" s="572"/>
    </row>
    <row s="4068" customFormat="1" customHeight="1" ht="11.25">
      <c r="A230" s="994"/>
      <c r="B230" s="1676"/>
      <c r="C230" s="1676"/>
      <c r="D230" s="347"/>
      <c r="K230" s="1168"/>
      <c r="L230" s="1676"/>
      <c r="M230" s="1676"/>
      <c r="N230" s="1168"/>
      <c r="O230" s="1168"/>
      <c r="P230" s="1168"/>
      <c r="Q230" s="1168"/>
      <c r="R230" s="1676"/>
      <c r="S230" s="1168"/>
      <c r="T230" s="1168"/>
      <c r="U230" s="550"/>
      <c r="V230" s="1168"/>
      <c r="W230" s="1168"/>
      <c r="X230" s="1168"/>
      <c r="Y230" s="1168"/>
      <c r="Z230" s="1168"/>
      <c r="AA230" s="1672"/>
      <c r="AB230" s="572"/>
      <c r="AC230" s="572"/>
      <c r="AD230" s="572"/>
      <c r="AE230" s="572"/>
    </row>
    <row s="4068" customFormat="1" customHeight="1" ht="11.25">
      <c r="A231" s="994"/>
      <c r="B231" s="1676"/>
      <c r="C231" s="1676"/>
      <c r="D231" s="347"/>
      <c r="K231" s="1168"/>
      <c r="L231" s="1676"/>
      <c r="M231" s="1676"/>
      <c r="N231" s="1168"/>
      <c r="O231" s="1168"/>
      <c r="P231" s="1168"/>
      <c r="Q231" s="1168"/>
      <c r="R231" s="1676"/>
      <c r="S231" s="1168"/>
      <c r="T231" s="1168"/>
      <c r="U231" s="550"/>
      <c r="V231" s="1168"/>
      <c r="W231" s="1168"/>
      <c r="X231" s="1168"/>
      <c r="Y231" s="1168"/>
      <c r="Z231" s="1168"/>
      <c r="AA231" s="1672"/>
      <c r="AB231" s="572"/>
      <c r="AC231" s="572"/>
      <c r="AD231" s="572"/>
      <c r="AE231" s="572"/>
    </row>
    <row s="4068" customFormat="1" customHeight="1" ht="11.25">
      <c r="A232" s="994"/>
      <c r="B232" s="1676"/>
      <c r="C232" s="1676"/>
      <c r="D232" s="347"/>
      <c r="K232" s="1168"/>
      <c r="L232" s="1676"/>
      <c r="M232" s="1676"/>
      <c r="N232" s="1168"/>
      <c r="O232" s="1168"/>
      <c r="P232" s="1168"/>
      <c r="Q232" s="1168"/>
      <c r="R232" s="1676"/>
      <c r="S232" s="1168"/>
      <c r="T232" s="1168"/>
      <c r="U232" s="550"/>
      <c r="V232" s="1168"/>
      <c r="W232" s="1168"/>
      <c r="X232" s="1168"/>
      <c r="Y232" s="1168"/>
      <c r="Z232" s="1168"/>
      <c r="AA232" s="1672"/>
      <c r="AB232" s="572"/>
      <c r="AC232" s="572"/>
      <c r="AD232" s="572"/>
      <c r="AE232" s="572"/>
    </row>
    <row s="4068" customFormat="1" customHeight="1" ht="11.25">
      <c r="A233" s="994"/>
      <c r="B233" s="1676"/>
      <c r="C233" s="1676"/>
      <c r="D233" s="347"/>
      <c r="K233" s="1168"/>
      <c r="L233" s="1676"/>
      <c r="M233" s="1676"/>
      <c r="N233" s="1168"/>
      <c r="O233" s="1168"/>
      <c r="P233" s="1168"/>
      <c r="Q233" s="1168"/>
      <c r="R233" s="1676"/>
      <c r="S233" s="1168"/>
      <c r="T233" s="1168"/>
      <c r="U233" s="550"/>
      <c r="V233" s="1168"/>
      <c r="W233" s="1168"/>
      <c r="X233" s="1168"/>
      <c r="Y233" s="1168"/>
      <c r="Z233" s="1168"/>
      <c r="AA233" s="1672"/>
      <c r="AB233" s="572"/>
      <c r="AC233" s="572"/>
      <c r="AD233" s="572"/>
      <c r="AE233" s="572"/>
    </row>
    <row s="4068" customFormat="1" customHeight="1" ht="11.25">
      <c r="A234" s="994"/>
      <c r="B234" s="1676"/>
      <c r="C234" s="1676"/>
      <c r="D234" s="347"/>
      <c r="K234" s="1168"/>
      <c r="L234" s="1676"/>
      <c r="M234" s="1676"/>
      <c r="N234" s="1168"/>
      <c r="O234" s="1168"/>
      <c r="P234" s="1168"/>
      <c r="Q234" s="1168"/>
      <c r="R234" s="1676"/>
      <c r="S234" s="1168"/>
      <c r="T234" s="1168"/>
      <c r="U234" s="550"/>
      <c r="V234" s="1168"/>
      <c r="W234" s="1168"/>
      <c r="X234" s="1168"/>
      <c r="Y234" s="1168"/>
      <c r="Z234" s="1168"/>
      <c r="AA234" s="1672"/>
      <c r="AB234" s="572"/>
      <c r="AC234" s="572"/>
      <c r="AD234" s="572"/>
      <c r="AE234" s="572"/>
    </row>
    <row s="4068" customFormat="1" customHeight="1" ht="11.25">
      <c r="A235" s="994"/>
      <c r="B235" s="1676"/>
      <c r="C235" s="1676"/>
      <c r="D235" s="347"/>
      <c r="K235" s="1168"/>
      <c r="L235" s="1676"/>
      <c r="M235" s="1676"/>
      <c r="N235" s="1168"/>
      <c r="O235" s="1168"/>
      <c r="P235" s="1168"/>
      <c r="Q235" s="1168"/>
      <c r="R235" s="1676"/>
      <c r="S235" s="1168"/>
      <c r="T235" s="1168"/>
      <c r="U235" s="550"/>
      <c r="V235" s="1168"/>
      <c r="W235" s="1168"/>
      <c r="X235" s="1168"/>
      <c r="Y235" s="1168"/>
      <c r="Z235" s="1168"/>
      <c r="AA235" s="1672"/>
      <c r="AB235" s="572"/>
      <c r="AC235" s="572"/>
      <c r="AD235" s="572"/>
      <c r="AE235" s="572"/>
    </row>
    <row s="4068" customFormat="1" customHeight="1" ht="11.25">
      <c r="A236" s="994"/>
      <c r="B236" s="1676"/>
      <c r="C236" s="1676"/>
      <c r="D236" s="347"/>
      <c r="K236" s="1168"/>
      <c r="L236" s="1676"/>
      <c r="M236" s="1676"/>
      <c r="N236" s="1168"/>
      <c r="O236" s="1168"/>
      <c r="P236" s="1168"/>
      <c r="Q236" s="1168"/>
      <c r="R236" s="1676"/>
      <c r="S236" s="1168"/>
      <c r="T236" s="1168"/>
      <c r="U236" s="550"/>
      <c r="V236" s="1168"/>
      <c r="W236" s="1168"/>
      <c r="X236" s="1168"/>
      <c r="Y236" s="1168"/>
      <c r="Z236" s="1168"/>
      <c r="AA236" s="1672"/>
      <c r="AB236" s="572"/>
      <c r="AC236" s="572"/>
      <c r="AD236" s="572"/>
      <c r="AE236" s="572"/>
    </row>
    <row s="4068" customFormat="1" customHeight="1" ht="11.25">
      <c r="A237" s="994"/>
      <c r="B237" s="1676"/>
      <c r="C237" s="1676"/>
      <c r="D237" s="347"/>
      <c r="K237" s="1168"/>
      <c r="L237" s="1676"/>
      <c r="M237" s="1676"/>
      <c r="N237" s="1168"/>
      <c r="O237" s="1168"/>
      <c r="P237" s="1168"/>
      <c r="Q237" s="1168"/>
      <c r="R237" s="1676"/>
      <c r="S237" s="1168"/>
      <c r="T237" s="1168"/>
      <c r="U237" s="550"/>
      <c r="V237" s="1168"/>
      <c r="W237" s="1168"/>
      <c r="X237" s="1168"/>
      <c r="Y237" s="1168"/>
      <c r="Z237" s="1168"/>
      <c r="AA237" s="1672"/>
      <c r="AB237" s="572"/>
      <c r="AC237" s="572"/>
      <c r="AD237" s="572"/>
      <c r="AE237" s="572"/>
    </row>
    <row s="4068" customFormat="1" customHeight="1" ht="11.25">
      <c r="A238" s="994"/>
      <c r="B238" s="1676"/>
      <c r="C238" s="1676"/>
      <c r="D238" s="347"/>
      <c r="K238" s="1168"/>
      <c r="L238" s="1676"/>
      <c r="M238" s="1676"/>
      <c r="N238" s="1168"/>
      <c r="O238" s="1168"/>
      <c r="P238" s="1168"/>
      <c r="Q238" s="1168"/>
      <c r="R238" s="1676"/>
      <c r="S238" s="1168"/>
      <c r="T238" s="1168"/>
      <c r="U238" s="550"/>
      <c r="V238" s="1168"/>
      <c r="W238" s="1168"/>
      <c r="X238" s="1168"/>
      <c r="Y238" s="1168"/>
      <c r="Z238" s="1168"/>
      <c r="AA238" s="1672"/>
      <c r="AB238" s="572"/>
      <c r="AC238" s="572"/>
      <c r="AD238" s="572"/>
      <c r="AE238" s="572"/>
    </row>
    <row s="4068" customFormat="1" customHeight="1" ht="11.25">
      <c r="A239" s="994"/>
      <c r="B239" s="1676"/>
      <c r="C239" s="1676"/>
      <c r="D239" s="347"/>
      <c r="K239" s="1168"/>
      <c r="L239" s="1676"/>
      <c r="M239" s="1676"/>
      <c r="N239" s="1168"/>
      <c r="O239" s="1168"/>
      <c r="P239" s="1168"/>
      <c r="Q239" s="1168"/>
      <c r="R239" s="1676"/>
      <c r="S239" s="1168"/>
      <c r="T239" s="1168"/>
      <c r="U239" s="550"/>
      <c r="V239" s="1168"/>
      <c r="W239" s="1168"/>
      <c r="X239" s="1168"/>
      <c r="Y239" s="1168"/>
      <c r="Z239" s="1168"/>
      <c r="AA239" s="1672"/>
      <c r="AB239" s="572"/>
      <c r="AC239" s="572"/>
      <c r="AD239" s="572"/>
      <c r="AE239" s="572"/>
    </row>
    <row s="4068" customFormat="1" customHeight="1" ht="11.25">
      <c r="A240" s="994"/>
      <c r="B240" s="1676"/>
      <c r="C240" s="1676"/>
      <c r="D240" s="347"/>
      <c r="K240" s="1168"/>
      <c r="L240" s="1676"/>
      <c r="M240" s="1676"/>
      <c r="N240" s="1168"/>
      <c r="O240" s="1168"/>
      <c r="P240" s="1168"/>
      <c r="Q240" s="1168"/>
      <c r="R240" s="1676"/>
      <c r="S240" s="1168"/>
      <c r="T240" s="1168"/>
      <c r="U240" s="550"/>
      <c r="V240" s="1168"/>
      <c r="W240" s="1168"/>
      <c r="X240" s="1168"/>
      <c r="Y240" s="1168"/>
      <c r="Z240" s="1168"/>
      <c r="AA240" s="1672"/>
      <c r="AB240" s="572"/>
      <c r="AC240" s="572"/>
      <c r="AD240" s="572"/>
      <c r="AE240" s="572"/>
    </row>
    <row s="4068" customFormat="1" customHeight="1" ht="11.25">
      <c r="A241" s="994"/>
      <c r="B241" s="1676"/>
      <c r="C241" s="1676"/>
      <c r="D241" s="347"/>
      <c r="K241" s="1168"/>
      <c r="L241" s="1676"/>
      <c r="M241" s="1676"/>
      <c r="N241" s="1168"/>
      <c r="O241" s="1168"/>
      <c r="P241" s="1168"/>
      <c r="Q241" s="1168"/>
      <c r="R241" s="1676"/>
      <c r="S241" s="1168"/>
      <c r="T241" s="1168"/>
      <c r="U241" s="550"/>
      <c r="V241" s="1168"/>
      <c r="W241" s="1168"/>
      <c r="X241" s="1168"/>
      <c r="Y241" s="1168"/>
      <c r="Z241" s="1168"/>
      <c r="AA241" s="1672"/>
      <c r="AB241" s="572"/>
      <c r="AC241" s="572"/>
      <c r="AD241" s="572"/>
      <c r="AE241" s="572"/>
    </row>
    <row s="4068" customFormat="1" customHeight="1" ht="11.25">
      <c r="A242" s="994"/>
      <c r="B242" s="1676"/>
      <c r="C242" s="1676"/>
      <c r="D242" s="347"/>
      <c r="K242" s="1168"/>
      <c r="L242" s="1676"/>
      <c r="M242" s="1676"/>
      <c r="N242" s="1168"/>
      <c r="O242" s="1168"/>
      <c r="P242" s="1168"/>
      <c r="Q242" s="1168"/>
      <c r="R242" s="1676"/>
      <c r="S242" s="1168"/>
      <c r="T242" s="1168"/>
      <c r="U242" s="550"/>
      <c r="V242" s="1168"/>
      <c r="W242" s="1168"/>
      <c r="X242" s="1168"/>
      <c r="Y242" s="1168"/>
      <c r="Z242" s="1168"/>
      <c r="AA242" s="1672"/>
      <c r="AB242" s="572"/>
      <c r="AC242" s="572"/>
      <c r="AD242" s="572"/>
      <c r="AE242" s="572"/>
    </row>
    <row s="4068" customFormat="1" customHeight="1" ht="11.25">
      <c r="A243" s="994"/>
      <c r="B243" s="1676"/>
      <c r="C243" s="1676"/>
      <c r="D243" s="347"/>
      <c r="K243" s="1168"/>
      <c r="L243" s="1676"/>
      <c r="M243" s="1676"/>
      <c r="N243" s="1168"/>
      <c r="O243" s="1168"/>
      <c r="P243" s="1168"/>
      <c r="Q243" s="1168"/>
      <c r="R243" s="1676"/>
      <c r="S243" s="1168"/>
      <c r="T243" s="1168"/>
      <c r="U243" s="550"/>
      <c r="V243" s="1168"/>
      <c r="W243" s="1168"/>
      <c r="X243" s="1168"/>
      <c r="Y243" s="1168"/>
      <c r="Z243" s="1168"/>
      <c r="AA243" s="1672"/>
      <c r="AB243" s="572"/>
      <c r="AC243" s="572"/>
      <c r="AD243" s="572"/>
      <c r="AE243" s="572"/>
    </row>
    <row s="4068" customFormat="1" customHeight="1" ht="11.25">
      <c r="A244" s="994"/>
      <c r="B244" s="1676"/>
      <c r="C244" s="1676"/>
      <c r="D244" s="347"/>
      <c r="K244" s="1168"/>
      <c r="L244" s="1676"/>
      <c r="M244" s="1676"/>
      <c r="N244" s="1168"/>
      <c r="O244" s="1168"/>
      <c r="P244" s="1168"/>
      <c r="Q244" s="1168"/>
      <c r="R244" s="1676"/>
      <c r="S244" s="1168"/>
      <c r="T244" s="1168"/>
      <c r="U244" s="550"/>
      <c r="V244" s="1168"/>
      <c r="W244" s="1168"/>
      <c r="X244" s="1168"/>
      <c r="Y244" s="1168"/>
      <c r="Z244" s="1168"/>
      <c r="AA244" s="1672"/>
      <c r="AB244" s="572"/>
      <c r="AC244" s="572"/>
      <c r="AD244" s="572"/>
      <c r="AE244" s="572"/>
    </row>
    <row s="4068" customFormat="1" customHeight="1" ht="11.25">
      <c r="A245" s="994"/>
      <c r="B245" s="1676"/>
      <c r="C245" s="1676"/>
      <c r="D245" s="347"/>
      <c r="K245" s="1168"/>
      <c r="L245" s="1676"/>
      <c r="M245" s="1676"/>
      <c r="N245" s="1168"/>
      <c r="O245" s="1168"/>
      <c r="P245" s="1168"/>
      <c r="Q245" s="1168"/>
      <c r="R245" s="1676"/>
      <c r="S245" s="1168"/>
      <c r="T245" s="1168"/>
      <c r="U245" s="550"/>
      <c r="V245" s="1168"/>
      <c r="W245" s="1168"/>
      <c r="X245" s="1168"/>
      <c r="Y245" s="1168"/>
      <c r="Z245" s="1168"/>
      <c r="AA245" s="1672"/>
      <c r="AB245" s="572"/>
      <c r="AC245" s="572"/>
      <c r="AD245" s="572"/>
      <c r="AE245" s="572"/>
    </row>
    <row s="4068" customFormat="1" customHeight="1" ht="11.25">
      <c r="A246" s="994"/>
      <c r="B246" s="1676"/>
      <c r="C246" s="1676"/>
      <c r="D246" s="347"/>
      <c r="K246" s="1168"/>
      <c r="L246" s="1676"/>
      <c r="M246" s="1676"/>
      <c r="N246" s="1168"/>
      <c r="O246" s="1168"/>
      <c r="P246" s="1168"/>
      <c r="Q246" s="1168"/>
      <c r="R246" s="1676"/>
      <c r="S246" s="1168"/>
      <c r="T246" s="1168"/>
      <c r="U246" s="550"/>
      <c r="V246" s="1168"/>
      <c r="W246" s="1168"/>
      <c r="X246" s="1168"/>
      <c r="Y246" s="1168"/>
      <c r="Z246" s="1168"/>
      <c r="AA246" s="1672"/>
      <c r="AB246" s="572"/>
      <c r="AC246" s="572"/>
      <c r="AD246" s="572"/>
      <c r="AE246" s="572"/>
    </row>
    <row s="4068" customFormat="1" customHeight="1" ht="11.25">
      <c r="A247" s="994"/>
      <c r="B247" s="1676"/>
      <c r="C247" s="1676"/>
      <c r="D247" s="347"/>
      <c r="K247" s="1168"/>
      <c r="L247" s="1676"/>
      <c r="M247" s="1676"/>
      <c r="N247" s="1168"/>
      <c r="O247" s="1168"/>
      <c r="P247" s="1168"/>
      <c r="Q247" s="1168"/>
      <c r="R247" s="1676"/>
      <c r="S247" s="1168"/>
      <c r="T247" s="1168"/>
      <c r="U247" s="550"/>
      <c r="V247" s="1168"/>
      <c r="W247" s="1168"/>
      <c r="X247" s="1168"/>
      <c r="Y247" s="1168"/>
      <c r="Z247" s="1168"/>
      <c r="AA247" s="1672"/>
      <c r="AB247" s="572"/>
      <c r="AC247" s="572"/>
      <c r="AD247" s="572"/>
      <c r="AE247" s="572"/>
    </row>
    <row s="4068" customFormat="1" customHeight="1" ht="11.25">
      <c r="A248" s="994"/>
      <c r="B248" s="1676"/>
      <c r="C248" s="1676"/>
      <c r="D248" s="347"/>
      <c r="K248" s="1168"/>
      <c r="L248" s="1676"/>
      <c r="M248" s="1676"/>
      <c r="N248" s="1168"/>
      <c r="O248" s="1168"/>
      <c r="P248" s="1168"/>
      <c r="Q248" s="1168"/>
      <c r="R248" s="1676"/>
      <c r="S248" s="1168"/>
      <c r="T248" s="1168"/>
      <c r="U248" s="550"/>
      <c r="V248" s="1168"/>
      <c r="W248" s="1168"/>
      <c r="X248" s="1168"/>
      <c r="Y248" s="1168"/>
      <c r="Z248" s="1168"/>
      <c r="AA248" s="1672"/>
      <c r="AB248" s="572"/>
      <c r="AC248" s="572"/>
      <c r="AD248" s="572"/>
      <c r="AE248" s="572"/>
    </row>
    <row s="4068" customFormat="1" customHeight="1" ht="11.25">
      <c r="A249" s="994"/>
      <c r="B249" s="1676"/>
      <c r="C249" s="1676"/>
      <c r="D249" s="347"/>
      <c r="K249" s="1168"/>
      <c r="L249" s="1676"/>
      <c r="M249" s="1676"/>
      <c r="N249" s="1168"/>
      <c r="O249" s="1168"/>
      <c r="P249" s="1168"/>
      <c r="Q249" s="1168"/>
      <c r="R249" s="1676"/>
      <c r="S249" s="1168"/>
      <c r="T249" s="1168"/>
      <c r="U249" s="550"/>
      <c r="V249" s="1168"/>
      <c r="W249" s="1168"/>
      <c r="X249" s="1168"/>
      <c r="Y249" s="1168"/>
      <c r="Z249" s="1168"/>
      <c r="AA249" s="1672"/>
      <c r="AB249" s="572"/>
      <c r="AC249" s="572"/>
      <c r="AD249" s="572"/>
      <c r="AE249" s="572"/>
    </row>
    <row s="4068" customFormat="1" customHeight="1" ht="11.25">
      <c r="A250" s="994"/>
      <c r="B250" s="1676"/>
      <c r="C250" s="1676"/>
      <c r="D250" s="347"/>
      <c r="K250" s="1168"/>
      <c r="L250" s="1676"/>
      <c r="M250" s="1676"/>
      <c r="N250" s="1168"/>
      <c r="O250" s="1168"/>
      <c r="P250" s="1168"/>
      <c r="Q250" s="1168"/>
      <c r="R250" s="1676"/>
      <c r="S250" s="1168"/>
      <c r="T250" s="1168"/>
      <c r="U250" s="550"/>
      <c r="V250" s="1168"/>
      <c r="W250" s="1168"/>
      <c r="X250" s="1168"/>
      <c r="Y250" s="1168"/>
      <c r="Z250" s="1168"/>
      <c r="AA250" s="1672"/>
      <c r="AB250" s="572"/>
      <c r="AC250" s="572"/>
      <c r="AD250" s="572"/>
      <c r="AE250" s="572"/>
    </row>
    <row s="4068" customFormat="1" customHeight="1" ht="11.25">
      <c r="A251" s="994"/>
      <c r="B251" s="1676"/>
      <c r="C251" s="1676"/>
      <c r="D251" s="347"/>
      <c r="K251" s="1168"/>
      <c r="L251" s="1676"/>
      <c r="M251" s="1676"/>
      <c r="N251" s="1168"/>
      <c r="O251" s="1168"/>
      <c r="P251" s="1168"/>
      <c r="Q251" s="1168"/>
      <c r="R251" s="1676"/>
      <c r="S251" s="1168"/>
      <c r="T251" s="1168"/>
      <c r="U251" s="550"/>
      <c r="V251" s="1168"/>
      <c r="W251" s="1168"/>
      <c r="X251" s="1168"/>
      <c r="Y251" s="1168"/>
      <c r="Z251" s="1168"/>
      <c r="AA251" s="1672"/>
      <c r="AB251" s="572"/>
      <c r="AC251" s="572"/>
      <c r="AD251" s="572"/>
      <c r="AE251" s="572"/>
    </row>
    <row s="4068" customFormat="1" customHeight="1" ht="11.25">
      <c r="A252" s="994"/>
      <c r="B252" s="1676"/>
      <c r="C252" s="1676"/>
      <c r="D252" s="347"/>
      <c r="K252" s="1168"/>
      <c r="L252" s="1676"/>
      <c r="M252" s="1676"/>
      <c r="N252" s="1168"/>
      <c r="O252" s="1168"/>
      <c r="P252" s="1168"/>
      <c r="Q252" s="1168"/>
      <c r="R252" s="1676"/>
      <c r="S252" s="1168"/>
      <c r="T252" s="1168"/>
      <c r="U252" s="550"/>
      <c r="V252" s="1168"/>
      <c r="W252" s="1168"/>
      <c r="X252" s="1168"/>
      <c r="Y252" s="1168"/>
      <c r="Z252" s="1168"/>
      <c r="AA252" s="1672"/>
      <c r="AB252" s="572"/>
      <c r="AC252" s="572"/>
      <c r="AD252" s="572"/>
      <c r="AE252" s="572"/>
    </row>
    <row s="4068" customFormat="1" customHeight="1" ht="11.25">
      <c r="A253" s="994"/>
      <c r="B253" s="1676"/>
      <c r="C253" s="1676"/>
      <c r="D253" s="347"/>
      <c r="K253" s="1168"/>
      <c r="L253" s="1676"/>
      <c r="M253" s="1676"/>
      <c r="N253" s="1168"/>
      <c r="O253" s="1168"/>
      <c r="P253" s="1168"/>
      <c r="Q253" s="1168"/>
      <c r="R253" s="1676"/>
      <c r="S253" s="1168"/>
      <c r="T253" s="1168"/>
      <c r="U253" s="550"/>
      <c r="V253" s="1168"/>
      <c r="W253" s="1168"/>
      <c r="X253" s="1168"/>
      <c r="Y253" s="1168"/>
      <c r="Z253" s="1168"/>
      <c r="AA253" s="1672"/>
      <c r="AB253" s="572"/>
      <c r="AC253" s="572"/>
      <c r="AD253" s="572"/>
      <c r="AE253" s="572"/>
    </row>
    <row s="4068" customFormat="1" customHeight="1" ht="11.25">
      <c r="A254" s="994"/>
      <c r="B254" s="1676"/>
      <c r="C254" s="1676"/>
      <c r="D254" s="347"/>
      <c r="K254" s="1168"/>
      <c r="L254" s="1676"/>
      <c r="M254" s="1676"/>
      <c r="N254" s="1168"/>
      <c r="O254" s="1168"/>
      <c r="P254" s="1168"/>
      <c r="Q254" s="1168"/>
      <c r="R254" s="1676"/>
      <c r="S254" s="1168"/>
      <c r="T254" s="1168"/>
      <c r="U254" s="550"/>
      <c r="V254" s="1168"/>
      <c r="W254" s="1168"/>
      <c r="X254" s="1168"/>
      <c r="Y254" s="1168"/>
      <c r="Z254" s="1168"/>
      <c r="AA254" s="1672"/>
      <c r="AB254" s="572"/>
      <c r="AC254" s="572"/>
      <c r="AD254" s="572"/>
      <c r="AE254" s="572"/>
    </row>
    <row s="4068" customFormat="1" customHeight="1" ht="11.25">
      <c r="A255" s="994"/>
      <c r="B255" s="1676"/>
      <c r="C255" s="1676"/>
      <c r="D255" s="347"/>
      <c r="K255" s="1168"/>
      <c r="L255" s="1676"/>
      <c r="M255" s="1676"/>
      <c r="N255" s="1168"/>
      <c r="O255" s="1168"/>
      <c r="P255" s="1168"/>
      <c r="Q255" s="1168"/>
      <c r="R255" s="1676"/>
      <c r="S255" s="1168"/>
      <c r="T255" s="1168"/>
      <c r="U255" s="550"/>
      <c r="V255" s="1168"/>
      <c r="W255" s="1168"/>
      <c r="X255" s="1168"/>
      <c r="Y255" s="1168"/>
      <c r="Z255" s="1168"/>
      <c r="AA255" s="1672"/>
      <c r="AB255" s="572"/>
      <c r="AC255" s="572"/>
      <c r="AD255" s="572"/>
      <c r="AE255" s="572"/>
    </row>
    <row s="4068" customFormat="1" customHeight="1" ht="11.25">
      <c r="A256" s="994"/>
      <c r="B256" s="1676"/>
      <c r="C256" s="1676"/>
      <c r="D256" s="347"/>
      <c r="K256" s="1168"/>
      <c r="L256" s="1676"/>
      <c r="M256" s="1676"/>
      <c r="N256" s="1168"/>
      <c r="O256" s="1168"/>
      <c r="P256" s="1168"/>
      <c r="Q256" s="1168"/>
      <c r="R256" s="1676"/>
      <c r="S256" s="1168"/>
      <c r="T256" s="1168"/>
      <c r="U256" s="550"/>
      <c r="V256" s="1168"/>
      <c r="W256" s="1168"/>
      <c r="X256" s="1168"/>
      <c r="Y256" s="1168"/>
      <c r="Z256" s="1168"/>
      <c r="AA256" s="1672"/>
      <c r="AB256" s="572"/>
      <c r="AC256" s="572"/>
      <c r="AD256" s="572"/>
      <c r="AE256" s="572"/>
    </row>
    <row s="4068" customFormat="1" customHeight="1" ht="11.25">
      <c r="A257" s="994"/>
      <c r="B257" s="1676"/>
      <c r="C257" s="1676"/>
      <c r="D257" s="347"/>
      <c r="K257" s="1168"/>
      <c r="L257" s="1676"/>
      <c r="M257" s="1676"/>
      <c r="N257" s="1168"/>
      <c r="O257" s="1168"/>
      <c r="P257" s="1168"/>
      <c r="Q257" s="1168"/>
      <c r="R257" s="1676"/>
      <c r="S257" s="1168"/>
      <c r="T257" s="1168"/>
      <c r="U257" s="550"/>
      <c r="V257" s="1168"/>
      <c r="W257" s="1168"/>
      <c r="X257" s="1168"/>
      <c r="Y257" s="1168"/>
      <c r="Z257" s="1168"/>
      <c r="AA257" s="1672"/>
      <c r="AB257" s="572"/>
      <c r="AC257" s="572"/>
      <c r="AD257" s="572"/>
      <c r="AE257" s="572"/>
    </row>
    <row s="4068" customFormat="1" customHeight="1" ht="11.25">
      <c r="A258" s="994"/>
      <c r="B258" s="1676"/>
      <c r="C258" s="1676"/>
      <c r="D258" s="347"/>
      <c r="K258" s="1168"/>
      <c r="L258" s="1676"/>
      <c r="M258" s="1676"/>
      <c r="N258" s="1168"/>
      <c r="O258" s="1168"/>
      <c r="P258" s="1168"/>
      <c r="Q258" s="1168"/>
      <c r="R258" s="1676"/>
      <c r="S258" s="1168"/>
      <c r="T258" s="1168"/>
      <c r="U258" s="550"/>
      <c r="V258" s="1168"/>
      <c r="W258" s="1168"/>
      <c r="X258" s="1168"/>
      <c r="Y258" s="1168"/>
      <c r="Z258" s="1168"/>
      <c r="AA258" s="1672"/>
      <c r="AB258" s="572"/>
      <c r="AC258" s="572"/>
      <c r="AD258" s="572"/>
      <c r="AE258" s="572"/>
    </row>
    <row s="4068" customFormat="1" customHeight="1" ht="11.25">
      <c r="A259" s="994"/>
      <c r="B259" s="1676"/>
      <c r="C259" s="1676"/>
      <c r="D259" s="347"/>
      <c r="K259" s="1168"/>
      <c r="L259" s="1676"/>
      <c r="M259" s="1676"/>
      <c r="N259" s="1168"/>
      <c r="O259" s="1168"/>
      <c r="P259" s="1168"/>
      <c r="Q259" s="1168"/>
      <c r="R259" s="1676"/>
      <c r="S259" s="1168"/>
      <c r="T259" s="1168"/>
      <c r="U259" s="550"/>
      <c r="V259" s="1168"/>
      <c r="W259" s="1168"/>
      <c r="X259" s="1168"/>
      <c r="Y259" s="1168"/>
      <c r="Z259" s="1168"/>
      <c r="AA259" s="1672"/>
      <c r="AB259" s="572"/>
      <c r="AC259" s="572"/>
      <c r="AD259" s="572"/>
      <c r="AE259" s="572"/>
    </row>
    <row s="4068" customFormat="1" customHeight="1" ht="11.25">
      <c r="A260" s="994"/>
      <c r="B260" s="1676"/>
      <c r="C260" s="1676"/>
      <c r="D260" s="347"/>
      <c r="K260" s="1168"/>
      <c r="L260" s="1676"/>
      <c r="M260" s="1676"/>
      <c r="N260" s="1168"/>
      <c r="O260" s="1168"/>
      <c r="P260" s="1168"/>
      <c r="Q260" s="1168"/>
      <c r="R260" s="1676"/>
      <c r="S260" s="1168"/>
      <c r="T260" s="1168"/>
      <c r="U260" s="550"/>
      <c r="V260" s="1168"/>
      <c r="W260" s="1168"/>
      <c r="X260" s="1168"/>
      <c r="Y260" s="1168"/>
      <c r="Z260" s="1168"/>
      <c r="AA260" s="1672"/>
      <c r="AB260" s="572"/>
      <c r="AC260" s="572"/>
      <c r="AD260" s="572"/>
      <c r="AE260" s="572"/>
    </row>
    <row s="4068" customFormat="1" customHeight="1" ht="11.25">
      <c r="A261" s="994"/>
      <c r="B261" s="1676"/>
      <c r="C261" s="1676"/>
      <c r="D261" s="347"/>
      <c r="K261" s="1168"/>
      <c r="L261" s="1676"/>
      <c r="M261" s="1676"/>
      <c r="N261" s="1168"/>
      <c r="O261" s="1168"/>
      <c r="P261" s="1168"/>
      <c r="Q261" s="1168"/>
      <c r="R261" s="1676"/>
      <c r="S261" s="1168"/>
      <c r="T261" s="1168"/>
      <c r="U261" s="550"/>
      <c r="V261" s="1168"/>
      <c r="W261" s="1168"/>
      <c r="X261" s="1168"/>
      <c r="Y261" s="1168"/>
      <c r="Z261" s="1168"/>
      <c r="AA261" s="1672"/>
      <c r="AB261" s="572"/>
      <c r="AC261" s="572"/>
      <c r="AD261" s="572"/>
      <c r="AE261" s="572"/>
    </row>
    <row s="4068" customFormat="1" customHeight="1" ht="11.25">
      <c r="A262" s="994"/>
      <c r="B262" s="1676"/>
      <c r="C262" s="1676"/>
      <c r="D262" s="347"/>
      <c r="K262" s="1168"/>
      <c r="L262" s="1676"/>
      <c r="M262" s="1676"/>
      <c r="N262" s="1168"/>
      <c r="O262" s="1168"/>
      <c r="P262" s="1168"/>
      <c r="Q262" s="1168"/>
      <c r="R262" s="1676"/>
      <c r="S262" s="1168"/>
      <c r="T262" s="1168"/>
      <c r="U262" s="550"/>
      <c r="V262" s="1168"/>
      <c r="W262" s="1168"/>
      <c r="X262" s="1168"/>
      <c r="Y262" s="1168"/>
      <c r="Z262" s="1168"/>
      <c r="AA262" s="1672"/>
      <c r="AB262" s="572"/>
      <c r="AC262" s="572"/>
      <c r="AD262" s="572"/>
      <c r="AE262" s="572"/>
    </row>
    <row s="4068" customFormat="1" customHeight="1" ht="11.25">
      <c r="A263" s="994"/>
      <c r="B263" s="1676"/>
      <c r="C263" s="1676"/>
      <c r="D263" s="347"/>
      <c r="K263" s="1168"/>
      <c r="L263" s="1676"/>
      <c r="M263" s="1676"/>
      <c r="N263" s="1168"/>
      <c r="O263" s="1168"/>
      <c r="P263" s="1168"/>
      <c r="Q263" s="1168"/>
      <c r="R263" s="1676"/>
      <c r="S263" s="1168"/>
      <c r="T263" s="1168"/>
      <c r="U263" s="550"/>
      <c r="V263" s="1168"/>
      <c r="W263" s="1168"/>
      <c r="X263" s="1168"/>
      <c r="Y263" s="1168"/>
      <c r="Z263" s="1168"/>
      <c r="AA263" s="1672"/>
      <c r="AB263" s="572"/>
      <c r="AC263" s="572"/>
      <c r="AD263" s="572"/>
      <c r="AE263" s="572"/>
    </row>
    <row s="4068" customFormat="1" customHeight="1" ht="11.25">
      <c r="A264" s="994"/>
      <c r="B264" s="1676"/>
      <c r="C264" s="1676"/>
      <c r="D264" s="347"/>
      <c r="K264" s="1168"/>
      <c r="L264" s="1676"/>
      <c r="M264" s="1676"/>
      <c r="N264" s="1168"/>
      <c r="O264" s="1168"/>
      <c r="P264" s="1168"/>
      <c r="Q264" s="1168"/>
      <c r="R264" s="1676"/>
      <c r="S264" s="1168"/>
      <c r="T264" s="1168"/>
      <c r="U264" s="550"/>
      <c r="V264" s="1168"/>
      <c r="W264" s="1168"/>
      <c r="X264" s="1168"/>
      <c r="Y264" s="1168"/>
      <c r="Z264" s="1168"/>
      <c r="AA264" s="1672"/>
      <c r="AB264" s="572"/>
      <c r="AC264" s="572"/>
      <c r="AD264" s="572"/>
      <c r="AE264" s="572"/>
    </row>
    <row s="4068" customFormat="1" customHeight="1" ht="11.25">
      <c r="A265" s="994"/>
      <c r="B265" s="1676"/>
      <c r="C265" s="1676"/>
      <c r="D265" s="347"/>
      <c r="K265" s="1168"/>
      <c r="L265" s="1676"/>
      <c r="M265" s="1676"/>
      <c r="N265" s="1168"/>
      <c r="O265" s="1168"/>
      <c r="P265" s="1168"/>
      <c r="Q265" s="1168"/>
      <c r="R265" s="1676"/>
      <c r="S265" s="1168"/>
      <c r="T265" s="1168"/>
      <c r="U265" s="550"/>
      <c r="V265" s="1168"/>
      <c r="W265" s="1168"/>
      <c r="X265" s="1168"/>
      <c r="Y265" s="1168"/>
      <c r="Z265" s="1168"/>
      <c r="AA265" s="1672"/>
      <c r="AB265" s="572"/>
      <c r="AC265" s="572"/>
      <c r="AD265" s="572"/>
      <c r="AE265" s="572"/>
    </row>
    <row s="4068" customFormat="1" customHeight="1" ht="11.25">
      <c r="A266" s="994"/>
      <c r="B266" s="1676"/>
      <c r="C266" s="1676"/>
      <c r="D266" s="347"/>
      <c r="K266" s="1168"/>
      <c r="L266" s="1676"/>
      <c r="M266" s="1676"/>
      <c r="N266" s="1168"/>
      <c r="O266" s="1168"/>
      <c r="P266" s="1168"/>
      <c r="Q266" s="1168"/>
      <c r="R266" s="1676"/>
      <c r="S266" s="1168"/>
      <c r="T266" s="1168"/>
      <c r="U266" s="550"/>
      <c r="V266" s="1168"/>
      <c r="W266" s="1168"/>
      <c r="X266" s="1168"/>
      <c r="Y266" s="1168"/>
      <c r="Z266" s="1168"/>
      <c r="AA266" s="1672"/>
      <c r="AB266" s="572"/>
      <c r="AC266" s="572"/>
      <c r="AD266" s="572"/>
      <c r="AE266" s="572"/>
    </row>
    <row s="4068" customFormat="1" customHeight="1" ht="11.25">
      <c r="A267" s="994"/>
      <c r="B267" s="1676"/>
      <c r="C267" s="1676"/>
      <c r="D267" s="347"/>
      <c r="K267" s="1168"/>
      <c r="L267" s="1676"/>
      <c r="M267" s="1676"/>
      <c r="N267" s="1168"/>
      <c r="O267" s="1168"/>
      <c r="P267" s="1168"/>
      <c r="Q267" s="1168"/>
      <c r="R267" s="1676"/>
      <c r="S267" s="1168"/>
      <c r="T267" s="1168"/>
      <c r="U267" s="550"/>
      <c r="V267" s="1168"/>
      <c r="W267" s="1168"/>
      <c r="X267" s="1168"/>
      <c r="Y267" s="1168"/>
      <c r="Z267" s="1168"/>
      <c r="AA267" s="1672"/>
      <c r="AB267" s="572"/>
      <c r="AC267" s="572"/>
      <c r="AD267" s="572"/>
      <c r="AE267" s="572"/>
    </row>
    <row s="4068" customFormat="1" customHeight="1" ht="11.25">
      <c r="A268" s="994"/>
      <c r="B268" s="1676"/>
      <c r="C268" s="1676"/>
      <c r="D268" s="347"/>
      <c r="K268" s="1168"/>
      <c r="L268" s="1676"/>
      <c r="M268" s="1676"/>
      <c r="N268" s="1168"/>
      <c r="O268" s="1168"/>
      <c r="P268" s="1168"/>
      <c r="Q268" s="1168"/>
      <c r="R268" s="1676"/>
      <c r="S268" s="1168"/>
      <c r="T268" s="1168"/>
      <c r="U268" s="550"/>
      <c r="V268" s="1168"/>
      <c r="W268" s="1168"/>
      <c r="X268" s="1168"/>
      <c r="Y268" s="1168"/>
      <c r="Z268" s="1168"/>
      <c r="AA268" s="1672"/>
      <c r="AB268" s="572"/>
      <c r="AC268" s="572"/>
      <c r="AD268" s="572"/>
      <c r="AE268" s="572"/>
    </row>
    <row s="4068" customFormat="1" customHeight="1" ht="11.25">
      <c r="A269" s="994"/>
      <c r="B269" s="1676"/>
      <c r="C269" s="1676"/>
      <c r="D269" s="347"/>
      <c r="K269" s="1168"/>
      <c r="L269" s="1676"/>
      <c r="M269" s="1676"/>
      <c r="N269" s="1168"/>
      <c r="O269" s="1168"/>
      <c r="P269" s="1168"/>
      <c r="Q269" s="1168"/>
      <c r="R269" s="1676"/>
      <c r="S269" s="1168"/>
      <c r="T269" s="1168"/>
      <c r="U269" s="550"/>
      <c r="V269" s="1168"/>
      <c r="W269" s="1168"/>
      <c r="X269" s="1168"/>
      <c r="Y269" s="1168"/>
      <c r="Z269" s="1168"/>
      <c r="AA269" s="1672"/>
      <c r="AB269" s="572"/>
      <c r="AC269" s="572"/>
      <c r="AD269" s="572"/>
      <c r="AE269" s="572"/>
    </row>
    <row s="4068" customFormat="1" customHeight="1" ht="11.25">
      <c r="A270" s="994"/>
      <c r="B270" s="1676"/>
      <c r="C270" s="1676"/>
      <c r="D270" s="347"/>
      <c r="K270" s="1168"/>
      <c r="L270" s="1676"/>
      <c r="M270" s="1676"/>
      <c r="N270" s="1168"/>
      <c r="O270" s="1168"/>
      <c r="P270" s="1168"/>
      <c r="Q270" s="1168"/>
      <c r="R270" s="1676"/>
      <c r="S270" s="1168"/>
      <c r="T270" s="1168"/>
      <c r="U270" s="550"/>
      <c r="V270" s="1168"/>
      <c r="W270" s="1168"/>
      <c r="X270" s="1168"/>
      <c r="Y270" s="1168"/>
      <c r="Z270" s="1168"/>
      <c r="AA270" s="1672"/>
      <c r="AB270" s="572"/>
      <c r="AC270" s="572"/>
      <c r="AD270" s="572"/>
      <c r="AE270" s="572"/>
    </row>
    <row s="4068" customFormat="1" customHeight="1" ht="11.25">
      <c r="A271" s="994"/>
      <c r="B271" s="1676"/>
      <c r="C271" s="1676"/>
      <c r="D271" s="347"/>
      <c r="K271" s="1168"/>
      <c r="L271" s="1676"/>
      <c r="M271" s="1676"/>
      <c r="N271" s="1168"/>
      <c r="O271" s="1168"/>
      <c r="P271" s="1168"/>
      <c r="Q271" s="1168"/>
      <c r="R271" s="1676"/>
      <c r="S271" s="1168"/>
      <c r="T271" s="1168"/>
      <c r="U271" s="550"/>
      <c r="V271" s="1168"/>
      <c r="W271" s="1168"/>
      <c r="X271" s="1168"/>
      <c r="Y271" s="1168"/>
      <c r="Z271" s="1168"/>
      <c r="AA271" s="1672"/>
      <c r="AB271" s="572"/>
      <c r="AC271" s="572"/>
      <c r="AD271" s="572"/>
      <c r="AE271" s="572"/>
    </row>
    <row s="4068" customFormat="1" customHeight="1" ht="11.25">
      <c r="A272" s="994"/>
      <c r="B272" s="1676"/>
      <c r="C272" s="1676"/>
      <c r="D272" s="347"/>
      <c r="K272" s="1168"/>
      <c r="L272" s="1676"/>
      <c r="M272" s="1676"/>
      <c r="N272" s="1168"/>
      <c r="O272" s="1168"/>
      <c r="P272" s="1168"/>
      <c r="Q272" s="1168"/>
      <c r="R272" s="1676"/>
      <c r="S272" s="1168"/>
      <c r="T272" s="1168"/>
      <c r="U272" s="550"/>
      <c r="V272" s="1168"/>
      <c r="W272" s="1168"/>
      <c r="X272" s="1168"/>
      <c r="Y272" s="1168"/>
      <c r="Z272" s="1168"/>
      <c r="AA272" s="1672"/>
      <c r="AB272" s="572"/>
      <c r="AC272" s="572"/>
      <c r="AD272" s="572"/>
      <c r="AE272" s="572"/>
    </row>
    <row s="4068" customFormat="1" customHeight="1" ht="11.25">
      <c r="A273" s="994"/>
      <c r="B273" s="1676"/>
      <c r="C273" s="1676"/>
      <c r="D273" s="347"/>
      <c r="K273" s="1168"/>
      <c r="L273" s="1676"/>
      <c r="M273" s="1676"/>
      <c r="N273" s="1168"/>
      <c r="O273" s="1168"/>
      <c r="P273" s="1168"/>
      <c r="Q273" s="1168"/>
      <c r="R273" s="1676"/>
      <c r="S273" s="1168"/>
      <c r="T273" s="1168"/>
      <c r="U273" s="550"/>
      <c r="V273" s="1168"/>
      <c r="W273" s="1168"/>
      <c r="X273" s="1168"/>
      <c r="Y273" s="1168"/>
      <c r="Z273" s="1168"/>
      <c r="AA273" s="1672"/>
      <c r="AB273" s="572"/>
      <c r="AC273" s="572"/>
      <c r="AD273" s="572"/>
      <c r="AE273" s="572"/>
    </row>
    <row s="4068" customFormat="1" customHeight="1" ht="11.25">
      <c r="A274" s="994"/>
      <c r="B274" s="1676"/>
      <c r="C274" s="1676"/>
      <c r="D274" s="347"/>
      <c r="K274" s="1168"/>
      <c r="L274" s="1676"/>
      <c r="M274" s="1676"/>
      <c r="N274" s="1168"/>
      <c r="O274" s="1168"/>
      <c r="P274" s="1168"/>
      <c r="Q274" s="1168"/>
      <c r="R274" s="1676"/>
      <c r="S274" s="1168"/>
      <c r="T274" s="1168"/>
      <c r="U274" s="550"/>
      <c r="V274" s="1168"/>
      <c r="W274" s="1168"/>
      <c r="X274" s="1168"/>
      <c r="Y274" s="1168"/>
      <c r="Z274" s="1168"/>
      <c r="AA274" s="1672"/>
      <c r="AB274" s="572"/>
      <c r="AC274" s="572"/>
      <c r="AD274" s="572"/>
      <c r="AE274" s="572"/>
    </row>
    <row s="4068" customFormat="1" customHeight="1" ht="11.25">
      <c r="A275" s="994"/>
      <c r="B275" s="1676"/>
      <c r="C275" s="1676"/>
      <c r="D275" s="347"/>
      <c r="K275" s="1168"/>
      <c r="L275" s="1676"/>
      <c r="M275" s="1676"/>
      <c r="N275" s="1168"/>
      <c r="O275" s="1168"/>
      <c r="P275" s="1168"/>
      <c r="Q275" s="1168"/>
      <c r="R275" s="1676"/>
      <c r="S275" s="1168"/>
      <c r="T275" s="1168"/>
      <c r="U275" s="550"/>
      <c r="V275" s="1168"/>
      <c r="W275" s="1168"/>
      <c r="X275" s="1168"/>
      <c r="Y275" s="1168"/>
      <c r="Z275" s="1168"/>
      <c r="AA275" s="1672"/>
      <c r="AB275" s="572"/>
      <c r="AC275" s="572"/>
      <c r="AD275" s="572"/>
      <c r="AE275" s="572"/>
    </row>
    <row s="4068" customFormat="1" customHeight="1" ht="11.25">
      <c r="A276" s="994"/>
      <c r="B276" s="1676"/>
      <c r="C276" s="1676"/>
      <c r="D276" s="347"/>
      <c r="K276" s="1168"/>
      <c r="L276" s="1676"/>
      <c r="M276" s="1676"/>
      <c r="N276" s="1168"/>
      <c r="O276" s="1168"/>
      <c r="P276" s="1168"/>
      <c r="Q276" s="1168"/>
      <c r="R276" s="1676"/>
      <c r="S276" s="1168"/>
      <c r="T276" s="1168"/>
      <c r="U276" s="550"/>
      <c r="V276" s="1168"/>
      <c r="W276" s="1168"/>
      <c r="X276" s="1168"/>
      <c r="Y276" s="1168"/>
      <c r="Z276" s="1168"/>
      <c r="AA276" s="1672"/>
      <c r="AB276" s="572"/>
      <c r="AC276" s="572"/>
      <c r="AD276" s="572"/>
      <c r="AE276" s="572"/>
    </row>
    <row s="4068" customFormat="1" customHeight="1" ht="11.25">
      <c r="A277" s="994"/>
      <c r="B277" s="1676"/>
      <c r="C277" s="1676"/>
      <c r="D277" s="347"/>
      <c r="K277" s="1168"/>
      <c r="L277" s="1676"/>
      <c r="M277" s="1676"/>
      <c r="N277" s="1168"/>
      <c r="O277" s="1168"/>
      <c r="P277" s="1168"/>
      <c r="Q277" s="1168"/>
      <c r="R277" s="1676"/>
      <c r="S277" s="1168"/>
      <c r="T277" s="1168"/>
      <c r="U277" s="550"/>
      <c r="V277" s="1168"/>
      <c r="W277" s="1168"/>
      <c r="X277" s="1168"/>
      <c r="Y277" s="1168"/>
      <c r="Z277" s="1168"/>
      <c r="AA277" s="1672"/>
      <c r="AB277" s="572"/>
      <c r="AC277" s="572"/>
      <c r="AD277" s="572"/>
      <c r="AE277" s="572"/>
    </row>
    <row s="4068" customFormat="1" customHeight="1" ht="11.25">
      <c r="A278" s="994"/>
      <c r="B278" s="1676"/>
      <c r="C278" s="1676"/>
      <c r="D278" s="347"/>
      <c r="K278" s="1168"/>
      <c r="L278" s="1676"/>
      <c r="M278" s="1676"/>
      <c r="N278" s="1168"/>
      <c r="O278" s="1168"/>
      <c r="P278" s="1168"/>
      <c r="Q278" s="1168"/>
      <c r="R278" s="1676"/>
      <c r="S278" s="1168"/>
      <c r="T278" s="1168"/>
      <c r="U278" s="550"/>
      <c r="V278" s="1168"/>
      <c r="W278" s="1168"/>
      <c r="X278" s="1168"/>
      <c r="Y278" s="1168"/>
      <c r="Z278" s="1168"/>
      <c r="AA278" s="1672"/>
      <c r="AB278" s="572"/>
      <c r="AC278" s="572"/>
      <c r="AD278" s="572"/>
      <c r="AE278" s="572"/>
    </row>
    <row s="4068" customFormat="1" customHeight="1" ht="11.25">
      <c r="A279" s="994"/>
      <c r="B279" s="1676"/>
      <c r="C279" s="1676"/>
      <c r="D279" s="347"/>
      <c r="K279" s="1168"/>
      <c r="L279" s="1676"/>
      <c r="M279" s="1676"/>
      <c r="N279" s="1168"/>
      <c r="O279" s="1168"/>
      <c r="P279" s="1168"/>
      <c r="Q279" s="1168"/>
      <c r="R279" s="1676"/>
      <c r="S279" s="1168"/>
      <c r="T279" s="1168"/>
      <c r="U279" s="550"/>
      <c r="V279" s="1168"/>
      <c r="W279" s="1168"/>
      <c r="X279" s="1168"/>
      <c r="Y279" s="1168"/>
      <c r="Z279" s="1168"/>
      <c r="AA279" s="1672"/>
      <c r="AB279" s="572"/>
      <c r="AC279" s="572"/>
      <c r="AD279" s="572"/>
      <c r="AE279" s="572"/>
    </row>
    <row s="4068" customFormat="1" customHeight="1" ht="11.25">
      <c r="A280" s="994"/>
      <c r="B280" s="1676"/>
      <c r="C280" s="1676"/>
      <c r="D280" s="347"/>
      <c r="K280" s="1168"/>
      <c r="L280" s="1676"/>
      <c r="M280" s="1676"/>
      <c r="N280" s="1168"/>
      <c r="O280" s="1168"/>
      <c r="P280" s="1168"/>
      <c r="Q280" s="1168"/>
      <c r="R280" s="1676"/>
      <c r="S280" s="1168"/>
      <c r="T280" s="1168"/>
      <c r="U280" s="550"/>
      <c r="V280" s="1168"/>
      <c r="W280" s="1168"/>
      <c r="X280" s="1168"/>
      <c r="Y280" s="1168"/>
      <c r="Z280" s="1168"/>
      <c r="AA280" s="1672"/>
      <c r="AB280" s="572"/>
      <c r="AC280" s="572"/>
      <c r="AD280" s="572"/>
      <c r="AE280" s="572"/>
    </row>
    <row s="4068" customFormat="1" customHeight="1" ht="11.25">
      <c r="A281" s="994"/>
      <c r="B281" s="1676"/>
      <c r="C281" s="1676"/>
      <c r="D281" s="347"/>
      <c r="K281" s="1168"/>
      <c r="L281" s="1676"/>
      <c r="M281" s="1676"/>
      <c r="N281" s="1168"/>
      <c r="O281" s="1168"/>
      <c r="P281" s="1168"/>
      <c r="Q281" s="1168"/>
      <c r="R281" s="1676"/>
      <c r="S281" s="1168"/>
      <c r="T281" s="1168"/>
      <c r="U281" s="550"/>
      <c r="V281" s="1168"/>
      <c r="W281" s="1168"/>
      <c r="X281" s="1168"/>
      <c r="Y281" s="1168"/>
      <c r="Z281" s="1168"/>
      <c r="AA281" s="1672"/>
      <c r="AB281" s="572"/>
      <c r="AC281" s="572"/>
      <c r="AD281" s="572"/>
      <c r="AE281" s="572"/>
    </row>
    <row s="4068" customFormat="1" customHeight="1" ht="11.25">
      <c r="A282" s="994"/>
      <c r="B282" s="1676"/>
      <c r="C282" s="1676"/>
      <c r="D282" s="347"/>
      <c r="K282" s="1168"/>
      <c r="L282" s="1676"/>
      <c r="M282" s="1676"/>
      <c r="N282" s="1168"/>
      <c r="O282" s="1168"/>
      <c r="P282" s="1168"/>
      <c r="Q282" s="1168"/>
      <c r="R282" s="1676"/>
      <c r="S282" s="1168"/>
      <c r="T282" s="1168"/>
      <c r="U282" s="550"/>
      <c r="V282" s="1168"/>
      <c r="W282" s="1168"/>
      <c r="X282" s="1168"/>
      <c r="Y282" s="1168"/>
      <c r="Z282" s="1168"/>
      <c r="AA282" s="1672"/>
      <c r="AB282" s="572"/>
      <c r="AC282" s="572"/>
      <c r="AD282" s="572"/>
      <c r="AE282" s="572"/>
    </row>
    <row s="4068" customFormat="1" customHeight="1" ht="11.25">
      <c r="A283" s="994"/>
      <c r="B283" s="1676"/>
      <c r="C283" s="1676"/>
      <c r="D283" s="347"/>
      <c r="K283" s="1168"/>
      <c r="L283" s="1676"/>
      <c r="M283" s="1676"/>
      <c r="N283" s="1168"/>
      <c r="O283" s="1168"/>
      <c r="P283" s="1168"/>
      <c r="Q283" s="1168"/>
      <c r="R283" s="1676"/>
      <c r="S283" s="1168"/>
      <c r="T283" s="1168"/>
      <c r="U283" s="550"/>
      <c r="V283" s="1168"/>
      <c r="W283" s="1168"/>
      <c r="X283" s="1168"/>
      <c r="Y283" s="1168"/>
      <c r="Z283" s="1168"/>
      <c r="AA283" s="1672"/>
      <c r="AB283" s="572"/>
      <c r="AC283" s="572"/>
      <c r="AD283" s="572"/>
      <c r="AE283" s="572"/>
    </row>
    <row s="4068" customFormat="1" customHeight="1" ht="11.25">
      <c r="A284" s="994"/>
      <c r="B284" s="1676"/>
      <c r="C284" s="1676"/>
      <c r="D284" s="347"/>
      <c r="K284" s="1168"/>
      <c r="L284" s="1676"/>
      <c r="M284" s="1676"/>
      <c r="N284" s="1168"/>
      <c r="O284" s="1168"/>
      <c r="P284" s="1168"/>
      <c r="Q284" s="1168"/>
      <c r="R284" s="1676"/>
      <c r="S284" s="1168"/>
      <c r="T284" s="1168"/>
      <c r="U284" s="550"/>
      <c r="V284" s="1168"/>
      <c r="W284" s="1168"/>
      <c r="X284" s="1168"/>
      <c r="Y284" s="1168"/>
      <c r="Z284" s="1168"/>
      <c r="AA284" s="1672"/>
      <c r="AB284" s="572"/>
      <c r="AC284" s="572"/>
      <c r="AD284" s="572"/>
      <c r="AE284" s="572"/>
    </row>
    <row s="4068" customFormat="1" customHeight="1" ht="11.25">
      <c r="A285" s="994"/>
      <c r="B285" s="1676"/>
      <c r="C285" s="1676"/>
      <c r="D285" s="347"/>
      <c r="K285" s="1168"/>
      <c r="L285" s="1676"/>
      <c r="M285" s="1676"/>
      <c r="N285" s="1168"/>
      <c r="O285" s="1168"/>
      <c r="P285" s="1168"/>
      <c r="Q285" s="1168"/>
      <c r="R285" s="1676"/>
      <c r="S285" s="1168"/>
      <c r="T285" s="1168"/>
      <c r="U285" s="550"/>
      <c r="V285" s="1168"/>
      <c r="W285" s="1168"/>
      <c r="X285" s="1168"/>
      <c r="Y285" s="1168"/>
      <c r="Z285" s="1168"/>
      <c r="AA285" s="1672"/>
      <c r="AB285" s="572"/>
      <c r="AC285" s="572"/>
      <c r="AD285" s="572"/>
      <c r="AE285" s="572"/>
    </row>
    <row s="4068" customFormat="1" customHeight="1" ht="11.25">
      <c r="A286" s="994"/>
      <c r="B286" s="1676"/>
      <c r="C286" s="1676"/>
      <c r="D286" s="347"/>
      <c r="K286" s="1168"/>
      <c r="L286" s="1676"/>
      <c r="M286" s="1676"/>
      <c r="N286" s="1168"/>
      <c r="O286" s="1168"/>
      <c r="P286" s="1168"/>
      <c r="Q286" s="1168"/>
      <c r="R286" s="1676"/>
      <c r="S286" s="1168"/>
      <c r="T286" s="1168"/>
      <c r="U286" s="550"/>
      <c r="V286" s="1168"/>
      <c r="W286" s="1168"/>
      <c r="X286" s="1168"/>
      <c r="Y286" s="1168"/>
      <c r="Z286" s="1168"/>
      <c r="AA286" s="1672"/>
      <c r="AB286" s="572"/>
      <c r="AC286" s="572"/>
      <c r="AD286" s="572"/>
      <c r="AE286" s="572"/>
    </row>
    <row s="4068" customFormat="1" customHeight="1" ht="11.25">
      <c r="A287" s="994"/>
      <c r="B287" s="1676"/>
      <c r="C287" s="1676"/>
      <c r="D287" s="347"/>
      <c r="K287" s="1168"/>
      <c r="L287" s="1676"/>
      <c r="M287" s="1676"/>
      <c r="N287" s="1168"/>
      <c r="O287" s="1168"/>
      <c r="P287" s="1168"/>
      <c r="Q287" s="1168"/>
      <c r="R287" s="1676"/>
      <c r="S287" s="1168"/>
      <c r="T287" s="1168"/>
      <c r="U287" s="550"/>
      <c r="V287" s="1168"/>
      <c r="W287" s="1168"/>
      <c r="X287" s="1168"/>
      <c r="Y287" s="1168"/>
      <c r="Z287" s="1168"/>
      <c r="AA287" s="1672"/>
      <c r="AB287" s="572"/>
      <c r="AC287" s="572"/>
      <c r="AD287" s="572"/>
      <c r="AE287" s="572"/>
    </row>
    <row s="4068" customFormat="1" customHeight="1" ht="11.25">
      <c r="A288" s="994"/>
      <c r="B288" s="1676"/>
      <c r="C288" s="1676"/>
      <c r="D288" s="347"/>
      <c r="K288" s="1168"/>
      <c r="L288" s="1676"/>
      <c r="M288" s="1676"/>
      <c r="N288" s="1168"/>
      <c r="O288" s="1168"/>
      <c r="P288" s="1168"/>
      <c r="Q288" s="1168"/>
      <c r="R288" s="1676"/>
      <c r="S288" s="1168"/>
      <c r="T288" s="1168"/>
      <c r="U288" s="550"/>
      <c r="V288" s="1168"/>
      <c r="W288" s="1168"/>
      <c r="X288" s="1168"/>
      <c r="Y288" s="1168"/>
      <c r="Z288" s="1168"/>
      <c r="AA288" s="1672"/>
      <c r="AB288" s="572"/>
      <c r="AC288" s="572"/>
      <c r="AD288" s="572"/>
      <c r="AE288" s="572"/>
    </row>
    <row r="292" customHeight="1" ht="11.25">
      <c r="A292" s="997"/>
      <c r="B292" s="1671"/>
      <c r="D292" s="1671"/>
      <c r="K292" s="1671"/>
      <c r="N292" s="1671"/>
      <c r="O292" s="1671"/>
      <c r="P292" s="1671"/>
      <c r="Q292" s="1671"/>
      <c r="S292" s="1671"/>
      <c r="T292" s="1671"/>
      <c r="U292" s="1671"/>
      <c r="V292" s="1671"/>
      <c r="W292" s="1671"/>
      <c r="X292" s="1671"/>
      <c r="Y292" s="1671"/>
      <c r="Z292" s="1671"/>
      <c r="AA292" s="1671"/>
      <c r="AB292" s="1671"/>
      <c r="AC292" s="1671"/>
      <c r="AD292" s="1671"/>
      <c r="AE292" s="1671"/>
    </row>
    <row customHeight="1" ht="11.25">
      <c r="A293" s="997"/>
      <c r="B293" s="1671"/>
      <c r="D293" s="1671"/>
      <c r="K293" s="1671"/>
      <c r="N293" s="1671"/>
      <c r="O293" s="1671"/>
      <c r="P293" s="1671"/>
      <c r="Q293" s="1671"/>
      <c r="S293" s="1671"/>
      <c r="T293" s="1671"/>
      <c r="U293" s="1671"/>
      <c r="V293" s="1671"/>
      <c r="W293" s="1671"/>
      <c r="X293" s="1671"/>
      <c r="Y293" s="1671"/>
      <c r="Z293" s="1671"/>
      <c r="AA293" s="1671"/>
      <c r="AB293" s="1671"/>
      <c r="AC293" s="1671"/>
      <c r="AD293" s="1671"/>
      <c r="AE293" s="1671"/>
    </row>
    <row customHeight="1" ht="11.25">
      <c r="A294" s="997"/>
      <c r="B294" s="1671"/>
      <c r="D294" s="1671"/>
      <c r="K294" s="1671"/>
      <c r="N294" s="1671"/>
      <c r="O294" s="1671"/>
      <c r="P294" s="1671"/>
      <c r="Q294" s="1671"/>
      <c r="S294" s="1671"/>
      <c r="T294" s="1671"/>
      <c r="U294" s="1671"/>
      <c r="V294" s="1671"/>
      <c r="W294" s="1671"/>
      <c r="X294" s="1671"/>
      <c r="Y294" s="1671"/>
      <c r="Z294" s="1671"/>
      <c r="AA294" s="1671"/>
      <c r="AB294" s="1671"/>
      <c r="AC294" s="1671"/>
      <c r="AD294" s="1671"/>
      <c r="AE294" s="1671"/>
    </row>
    <row customHeight="1" ht="11.25">
      <c r="A295" s="997"/>
      <c r="B295" s="1671"/>
      <c r="D295" s="1671"/>
      <c r="K295" s="1671"/>
      <c r="N295" s="1671"/>
      <c r="O295" s="1671"/>
      <c r="P295" s="1671"/>
      <c r="Q295" s="1671"/>
      <c r="S295" s="1671"/>
      <c r="T295" s="1671"/>
      <c r="U295" s="1671"/>
      <c r="V295" s="1671"/>
      <c r="W295" s="1671"/>
      <c r="X295" s="1671"/>
      <c r="Y295" s="1671"/>
      <c r="Z295" s="1671"/>
      <c r="AA295" s="1671"/>
      <c r="AB295" s="1671"/>
      <c r="AC295" s="1671"/>
      <c r="AD295" s="1671"/>
      <c r="AE295" s="1671"/>
    </row>
    <row customHeight="1" ht="11.25">
      <c r="A296" s="997"/>
      <c r="B296" s="1671"/>
      <c r="D296" s="1671"/>
      <c r="K296" s="1671"/>
      <c r="N296" s="1671"/>
      <c r="O296" s="1671"/>
      <c r="P296" s="1671"/>
      <c r="Q296" s="1671"/>
      <c r="S296" s="1671"/>
      <c r="T296" s="1671"/>
      <c r="U296" s="1671"/>
      <c r="V296" s="1671"/>
      <c r="W296" s="1671"/>
      <c r="X296" s="1671"/>
      <c r="Y296" s="1671"/>
      <c r="Z296" s="1671"/>
      <c r="AA296" s="1671"/>
      <c r="AB296" s="1671"/>
      <c r="AC296" s="1671"/>
      <c r="AD296" s="1671"/>
      <c r="AE296" s="1671"/>
    </row>
    <row customHeight="1" ht="11.25">
      <c r="A297" s="997"/>
      <c r="B297" s="1671"/>
      <c r="D297" s="1671"/>
      <c r="K297" s="1671"/>
      <c r="N297" s="1671"/>
      <c r="O297" s="1671"/>
      <c r="P297" s="1671"/>
      <c r="Q297" s="1671"/>
      <c r="S297" s="1671"/>
      <c r="T297" s="1671"/>
      <c r="U297" s="1671"/>
      <c r="V297" s="1671"/>
      <c r="W297" s="1671"/>
      <c r="X297" s="1671"/>
      <c r="Y297" s="1671"/>
      <c r="Z297" s="1671"/>
      <c r="AA297" s="1671"/>
      <c r="AB297" s="1671"/>
      <c r="AC297" s="1671"/>
      <c r="AD297" s="1671"/>
      <c r="AE297" s="1671"/>
    </row>
    <row customHeight="1" ht="11.25">
      <c r="A298" s="997"/>
      <c r="B298" s="1671"/>
      <c r="D298" s="1671"/>
      <c r="K298" s="1671"/>
      <c r="N298" s="1671"/>
      <c r="O298" s="1671"/>
      <c r="P298" s="1671"/>
      <c r="Q298" s="1671"/>
      <c r="S298" s="1671"/>
      <c r="T298" s="1671"/>
      <c r="U298" s="1671"/>
      <c r="V298" s="1671"/>
      <c r="W298" s="1671"/>
      <c r="X298" s="1671"/>
      <c r="Y298" s="1671"/>
      <c r="Z298" s="1671"/>
      <c r="AA298" s="1671"/>
      <c r="AB298" s="1671"/>
      <c r="AC298" s="1671"/>
      <c r="AD298" s="1671"/>
      <c r="AE298" s="1671"/>
    </row>
    <row customHeight="1" ht="11.25">
      <c r="A299" s="997"/>
      <c r="B299" s="1671"/>
      <c r="D299" s="1671"/>
      <c r="K299" s="1671"/>
      <c r="N299" s="1671"/>
      <c r="O299" s="1671"/>
      <c r="P299" s="1671"/>
      <c r="Q299" s="1671"/>
      <c r="S299" s="1671"/>
      <c r="T299" s="1671"/>
      <c r="U299" s="1671"/>
      <c r="V299" s="1671"/>
      <c r="W299" s="1671"/>
      <c r="X299" s="1671"/>
      <c r="Y299" s="1671"/>
      <c r="Z299" s="1671"/>
      <c r="AA299" s="1671"/>
      <c r="AB299" s="1671"/>
      <c r="AC299" s="1671"/>
      <c r="AD299" s="1671"/>
      <c r="AE299" s="1671"/>
    </row>
    <row customHeight="1" ht="11.25">
      <c r="A300" s="997"/>
      <c r="B300" s="1671"/>
      <c r="D300" s="1671"/>
      <c r="K300" s="1671"/>
      <c r="N300" s="1671"/>
      <c r="O300" s="1671"/>
      <c r="P300" s="1671"/>
      <c r="Q300" s="1671"/>
      <c r="S300" s="1671"/>
      <c r="T300" s="1671"/>
      <c r="U300" s="1671"/>
      <c r="V300" s="1671"/>
      <c r="W300" s="1671"/>
      <c r="X300" s="1671"/>
      <c r="Y300" s="1671"/>
      <c r="Z300" s="1671"/>
      <c r="AA300" s="1671"/>
      <c r="AB300" s="1671"/>
      <c r="AC300" s="1671"/>
      <c r="AD300" s="1671"/>
      <c r="AE300" s="1671"/>
    </row>
    <row customHeight="1" ht="11.25">
      <c r="A301" s="997"/>
      <c r="B301" s="1671"/>
      <c r="D301" s="1671"/>
      <c r="K301" s="1671"/>
      <c r="N301" s="1671"/>
      <c r="O301" s="1671"/>
      <c r="P301" s="1671"/>
      <c r="Q301" s="1671"/>
      <c r="S301" s="1671"/>
      <c r="T301" s="1671"/>
      <c r="U301" s="1671"/>
      <c r="V301" s="1671"/>
      <c r="W301" s="1671"/>
      <c r="X301" s="1671"/>
      <c r="Y301" s="1671"/>
      <c r="Z301" s="1671"/>
      <c r="AA301" s="1671"/>
      <c r="AB301" s="1671"/>
      <c r="AC301" s="1671"/>
      <c r="AD301" s="1671"/>
      <c r="AE301" s="1671"/>
    </row>
    <row customHeight="1" ht="11.25">
      <c r="A302" s="997"/>
      <c r="B302" s="1671"/>
      <c r="D302" s="1671"/>
      <c r="K302" s="1671"/>
      <c r="N302" s="1671"/>
      <c r="O302" s="1671"/>
      <c r="P302" s="1671"/>
      <c r="Q302" s="1671"/>
      <c r="S302" s="1671"/>
      <c r="T302" s="1671"/>
      <c r="U302" s="1671"/>
      <c r="V302" s="1671"/>
      <c r="W302" s="1671"/>
      <c r="X302" s="1671"/>
      <c r="Y302" s="1671"/>
      <c r="Z302" s="1671"/>
      <c r="AA302" s="1671"/>
      <c r="AB302" s="1671"/>
      <c r="AC302" s="1671"/>
      <c r="AD302" s="1671"/>
      <c r="AE302" s="1671"/>
    </row>
  </sheetData>
  <sheetProtection formatColumns="0" formatRows="0" autoFilter="0" sort="0" insertRows="0" insertColumns="1" deleteRows="0" deleteColumns="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I81 H128:I130">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7BEAB4-15AD-E828-0C48-82DC82DA84F8}" mc:Ignorable="x14ac xr xr2 xr3">
  <sheetPr>
    <tabColor theme="9" tint="-0.25"/>
  </sheetPr>
  <dimension ref="A1:CE28"/>
  <sheetViews>
    <sheetView topLeftCell="A1" showGridLines="0" zoomScale="90" workbookViewId="0">
      <selection activeCell="A1" sqref="A1"/>
    </sheetView>
  </sheetViews>
  <sheetFormatPr defaultColWidth="9.140625" customHeight="1" defaultRowHeight="11.25"/>
  <cols>
    <col min="1" max="1" style="4147" width="14.7109375" hidden="1" customWidth="1"/>
    <col min="2" max="2" style="3152" width="17.00390625" hidden="1" customWidth="1"/>
    <col min="3" max="3" style="3154" width="3.7109375" customWidth="1"/>
    <col min="4" max="4" style="3154" width="1.8515625" hidden="1" customWidth="1"/>
    <col min="5" max="6" style="3154" width="7.7109375" customWidth="1"/>
    <col min="7" max="7" style="3154" width="29.7109375" customWidth="1"/>
    <col min="8" max="8" style="3154" width="3.7109375" customWidth="1"/>
    <col min="9" max="9" style="3154" width="5.421875" customWidth="1"/>
    <col min="10" max="10" style="3154" width="24.57421875" customWidth="1"/>
    <col min="11" max="11" style="3154" width="24.421875" customWidth="1"/>
    <col min="12" max="12" style="3154" width="3.7109375" customWidth="1"/>
    <col min="13" max="13" style="3154" width="6.28125" customWidth="1"/>
    <col min="14" max="14" style="3154" width="25.8515625" customWidth="1"/>
    <col min="15" max="18" style="3154" width="18.7109375" customWidth="1"/>
    <col min="19" max="19" style="3154" width="93.421875" customWidth="1"/>
    <col min="20" max="20" style="3154" width="10.57421875" customWidth="1"/>
    <col min="21" max="21" style="4149" width="10.57421875" customWidth="1"/>
    <col min="22" max="22" style="4149" width="11.7109375" customWidth="1"/>
    <col min="23" max="23" style="4150" width="10.57421875" customWidth="1"/>
    <col min="24" max="27" style="3152" width="10.57421875" customWidth="1"/>
    <col min="28" max="83" style="3154" width="9.140625"/>
  </cols>
  <sheetData>
    <row customHeight="1" ht="11.25" hidden="1"/>
    <row customHeight="1" ht="11.25" hidden="1"/>
    <row customHeight="1" ht="11.25" hidden="1"/>
    <row customHeight="1" ht="3">
      <c r="C4" s="515"/>
      <c r="D4" s="515"/>
      <c r="E4" s="515"/>
      <c r="F4" s="515"/>
      <c r="G4" s="515"/>
      <c r="H4" s="515"/>
      <c r="I4" s="515"/>
      <c r="J4" s="515"/>
      <c r="K4" s="152"/>
      <c r="L4" s="152"/>
      <c r="M4" s="152"/>
    </row>
    <row customHeight="1" ht="28.5">
      <c r="C5" s="515"/>
      <c r="D5" s="1064"/>
      <c r="E5" s="2085" t="str">
        <f>FHD20_NAME_FORM</f>
        <v>Форма 11. Информация о расходах на капитальный и текущий ремонт основных средств</v>
      </c>
      <c r="F5" s="2085"/>
      <c r="G5" s="2085"/>
      <c r="H5" s="2085"/>
      <c r="I5" s="2085"/>
      <c r="J5" s="2085"/>
      <c r="K5" s="2085"/>
      <c r="L5" s="619"/>
      <c r="M5" s="619"/>
    </row>
    <row s="2624" customFormat="1" customHeight="1" ht="16.5">
      <c r="A6" s="616"/>
      <c r="B6" s="765"/>
      <c r="C6" s="515"/>
      <c r="D6" s="1065"/>
      <c r="E6" s="2053" t="str">
        <f>IF(org=0,"Не определено",org)</f>
        <v>МУП г. Азова "Теплоэнерго"</v>
      </c>
      <c r="F6" s="2053"/>
      <c r="G6" s="2053"/>
      <c r="H6" s="2053"/>
      <c r="I6" s="2053"/>
      <c r="J6" s="2053"/>
      <c r="K6" s="2053"/>
      <c r="L6" s="619"/>
      <c r="M6" s="619"/>
      <c r="U6" s="617"/>
      <c r="V6" s="617"/>
      <c r="W6" s="618"/>
      <c r="X6" s="765"/>
      <c r="Y6" s="765"/>
      <c r="Z6" s="765"/>
      <c r="AA6" s="765"/>
    </row>
    <row customHeight="1" ht="11.25">
      <c r="C7" s="515"/>
      <c r="D7" s="515"/>
      <c r="E7" s="515"/>
      <c r="F7" s="515"/>
      <c r="G7" s="528"/>
      <c r="H7" s="528"/>
      <c r="I7" s="528"/>
      <c r="J7" s="528"/>
      <c r="K7" s="620"/>
      <c r="L7" s="620"/>
      <c r="M7" s="620"/>
      <c r="R7" s="758"/>
    </row>
    <row s="2611" customFormat="1" customHeight="1" ht="5.25">
      <c r="A8" s="627"/>
      <c r="B8" s="572"/>
      <c r="C8" s="347"/>
      <c r="D8" s="347"/>
      <c r="E8" s="347"/>
      <c r="F8" s="347"/>
      <c r="G8" s="982"/>
      <c r="H8" s="982"/>
      <c r="I8" s="982"/>
      <c r="J8" s="982"/>
      <c r="K8" s="1025"/>
      <c r="L8" s="1025"/>
      <c r="M8" s="1025"/>
      <c r="R8" s="1026"/>
      <c r="U8" s="617"/>
      <c r="V8" s="617"/>
      <c r="W8" s="628"/>
      <c r="X8" s="572"/>
      <c r="Y8" s="572"/>
      <c r="Z8" s="572"/>
      <c r="AA8" s="572"/>
    </row>
    <row customHeight="1" ht="18.75">
      <c r="D9" s="277"/>
      <c r="E9" s="1955" t="s">
        <v>291</v>
      </c>
      <c r="F9" s="1956"/>
      <c r="G9" s="1956"/>
      <c r="H9" s="1956"/>
      <c r="I9" s="1956"/>
      <c r="J9" s="1956"/>
      <c r="K9" s="1956"/>
      <c r="L9" s="1956"/>
      <c r="M9" s="1956"/>
      <c r="N9" s="1956"/>
      <c r="O9" s="1956"/>
      <c r="P9" s="1956"/>
      <c r="Q9" s="1956"/>
      <c r="R9" s="1957"/>
      <c r="S9" s="1971" t="s">
        <v>292</v>
      </c>
      <c r="T9" s="330"/>
    </row>
    <row customHeight="1" ht="33.75">
      <c r="D10" s="557" t="s">
        <v>87</v>
      </c>
      <c r="E10" s="1971" t="s">
        <v>87</v>
      </c>
      <c r="F10" s="1971"/>
      <c r="G10" s="527" t="s">
        <v>293</v>
      </c>
      <c r="H10" s="1971" t="s">
        <v>87</v>
      </c>
      <c r="I10" s="1971"/>
      <c r="J10" s="527" t="s">
        <v>589</v>
      </c>
      <c r="K10" s="527" t="s">
        <v>590</v>
      </c>
      <c r="L10" s="1971" t="s">
        <v>87</v>
      </c>
      <c r="M10" s="1971"/>
      <c r="N10" s="527" t="s">
        <v>591</v>
      </c>
      <c r="O10" s="527" t="s">
        <v>592</v>
      </c>
      <c r="P10" s="527" t="s">
        <v>593</v>
      </c>
      <c r="Q10" s="527" t="s">
        <v>594</v>
      </c>
      <c r="R10" s="527" t="s">
        <v>595</v>
      </c>
      <c r="S10" s="1971"/>
      <c r="T10" s="330"/>
    </row>
    <row s="2612" customFormat="1" customHeight="1" ht="15" hidden="1">
      <c r="A11" s="1059"/>
      <c r="D11" s="1032" t="s">
        <v>108</v>
      </c>
      <c r="E11" s="1032"/>
      <c r="F11" s="1032" t="s">
        <v>109</v>
      </c>
      <c r="G11" s="1032" t="s">
        <v>89</v>
      </c>
      <c r="H11" s="1032"/>
      <c r="I11" s="1032" t="s">
        <v>90</v>
      </c>
      <c r="J11" s="1032" t="s">
        <v>110</v>
      </c>
      <c r="K11" s="1032" t="s">
        <v>91</v>
      </c>
      <c r="L11" s="1032"/>
      <c r="M11" s="1032" t="s">
        <v>92</v>
      </c>
      <c r="N11" s="1032" t="s">
        <v>111</v>
      </c>
      <c r="O11" s="1032" t="s">
        <v>147</v>
      </c>
      <c r="P11" s="1032" t="s">
        <v>148</v>
      </c>
      <c r="Q11" s="1032" t="s">
        <v>149</v>
      </c>
      <c r="R11" s="1032" t="s">
        <v>150</v>
      </c>
      <c r="S11" s="1032" t="s">
        <v>151</v>
      </c>
      <c r="U11" s="617"/>
      <c r="V11" s="617"/>
      <c r="W11" s="617"/>
    </row>
    <row s="2628" customFormat="1" customHeight="1" ht="0.75">
      <c r="A12" s="621"/>
      <c r="B12" s="360"/>
      <c r="D12" s="554"/>
      <c r="E12" s="342"/>
      <c r="F12" s="342"/>
      <c r="Q12" s="622"/>
      <c r="R12" s="623"/>
      <c r="T12" s="624"/>
      <c r="U12" s="625"/>
      <c r="V12" s="625"/>
      <c r="W12" s="626"/>
      <c r="X12" s="360"/>
      <c r="Y12" s="360"/>
      <c r="Z12" s="360"/>
      <c r="AA12" s="360"/>
    </row>
    <row s="2611" customFormat="1" customHeight="1" ht="0.75">
      <c r="A13" s="627"/>
      <c r="B13" s="572"/>
      <c r="D13" s="554" t="s">
        <v>369</v>
      </c>
      <c r="E13" s="566"/>
      <c r="F13" s="566"/>
      <c r="G13" s="566"/>
      <c r="H13" s="566"/>
      <c r="I13" s="566"/>
      <c r="J13" s="566"/>
      <c r="K13" s="566"/>
      <c r="L13" s="566"/>
      <c r="M13" s="566"/>
      <c r="N13" s="566"/>
      <c r="O13" s="566"/>
      <c r="P13" s="566"/>
      <c r="Q13" s="566"/>
      <c r="R13" s="566"/>
      <c r="T13" s="330"/>
      <c r="U13" s="617"/>
      <c r="V13" s="617"/>
      <c r="W13" s="628"/>
      <c r="X13" s="572"/>
      <c r="Y13" s="572"/>
      <c r="Z13" s="572"/>
      <c r="AA13" s="572"/>
    </row>
    <row s="2747" customFormat="1" customHeight="1" ht="15" hidden="1">
      <c r="A14" s="629" t="s">
        <v>116</v>
      </c>
      <c r="B14" s="630"/>
      <c r="C14" s="630"/>
      <c r="D14" s="2217" t="s">
        <v>108</v>
      </c>
      <c r="E14" s="2225" t="s">
        <v>104</v>
      </c>
      <c r="F14" s="2226"/>
      <c r="G14" s="2227"/>
      <c r="H14" s="2220">
        <f>IF(A14="","",INDEX(DIFFERENTIATION_UNMERGE_VD,MATCH(A14,DIFFERENTIATION_ID_DIFF,0)))</f>
        <v>0</v>
      </c>
      <c r="I14" s="2220"/>
      <c r="J14" s="2220"/>
      <c r="K14" s="2220"/>
      <c r="L14" s="2220"/>
      <c r="M14" s="2220"/>
      <c r="N14" s="2220"/>
      <c r="O14" s="2220"/>
      <c r="P14" s="2220"/>
      <c r="Q14" s="2220"/>
      <c r="R14" s="2220"/>
      <c r="S14" s="725"/>
      <c r="T14" s="722"/>
      <c r="U14" s="631"/>
      <c r="V14" s="631"/>
      <c r="W14" s="632"/>
      <c r="X14" s="632"/>
      <c r="Y14" s="632"/>
      <c r="Z14" s="632"/>
      <c r="AA14" s="633"/>
      <c r="AB14" s="634"/>
      <c r="AC14" s="2224"/>
      <c r="AD14" s="635"/>
      <c r="AE14" s="636" t="s">
        <v>24</v>
      </c>
      <c r="AF14" s="636"/>
      <c r="AG14" s="637" t="s">
        <v>596</v>
      </c>
      <c r="AH14" s="638">
        <v>3</v>
      </c>
      <c r="AI14" s="631"/>
      <c r="AJ14" s="631"/>
      <c r="AK14" s="631"/>
      <c r="AL14" s="631"/>
      <c r="AM14" s="631"/>
      <c r="AN14" s="631"/>
      <c r="AO14" s="631"/>
      <c r="AP14" s="631"/>
      <c r="AQ14" s="631"/>
      <c r="AR14" s="631"/>
      <c r="AS14" s="631"/>
      <c r="AT14" s="631"/>
      <c r="AU14" s="631"/>
      <c r="AV14" s="631"/>
      <c r="AW14" s="631"/>
      <c r="AX14" s="631"/>
      <c r="AY14" s="631"/>
      <c r="AZ14" s="631"/>
      <c r="BA14" s="631"/>
      <c r="BB14" s="631"/>
      <c r="BC14" s="631"/>
      <c r="BD14" s="631"/>
      <c r="BE14" s="631"/>
      <c r="BF14" s="631"/>
      <c r="BG14" s="631"/>
      <c r="BH14" s="631"/>
      <c r="BI14" s="631"/>
      <c r="BJ14" s="631"/>
      <c r="BK14" s="631"/>
      <c r="BL14" s="631"/>
      <c r="BM14" s="631"/>
      <c r="BN14" s="631"/>
      <c r="BO14" s="631"/>
      <c r="BP14" s="631"/>
      <c r="BQ14" s="631"/>
      <c r="BR14" s="631"/>
      <c r="BS14" s="631"/>
      <c r="BT14" s="631"/>
      <c r="BU14" s="631"/>
      <c r="BV14" s="632"/>
      <c r="BW14" s="632"/>
      <c r="BX14" s="632"/>
      <c r="BY14" s="632"/>
      <c r="BZ14" s="632"/>
      <c r="CA14" s="632"/>
      <c r="CB14" s="632"/>
      <c r="CC14" s="632"/>
      <c r="CD14" s="632"/>
      <c r="CE14" s="632"/>
    </row>
    <row s="2747" customFormat="1" customHeight="1" ht="15" hidden="1">
      <c r="A15" s="629"/>
      <c r="B15" s="630"/>
      <c r="C15" s="630"/>
      <c r="D15" s="2218"/>
      <c r="E15" s="2225" t="s">
        <v>551</v>
      </c>
      <c r="F15" s="2226"/>
      <c r="G15" s="2227"/>
      <c r="H15" s="2220" t="str">
        <f>IF(A14="","",INDEX(DIFFERENTIATION_UNMERGE_AREA,MATCH(A14,DIFFERENTIATION_ID_DIFF,0)))</f>
        <v/>
      </c>
      <c r="I15" s="2220"/>
      <c r="J15" s="2220"/>
      <c r="K15" s="2220"/>
      <c r="L15" s="2220"/>
      <c r="M15" s="2220"/>
      <c r="N15" s="2220"/>
      <c r="O15" s="2220"/>
      <c r="P15" s="2220"/>
      <c r="Q15" s="2220"/>
      <c r="R15" s="2220"/>
      <c r="S15" s="725"/>
      <c r="T15" s="722"/>
      <c r="U15" s="631"/>
      <c r="V15" s="631"/>
      <c r="W15" s="632"/>
      <c r="X15" s="632"/>
      <c r="Y15" s="632"/>
      <c r="Z15" s="632"/>
      <c r="AA15" s="633"/>
      <c r="AB15" s="634"/>
      <c r="AC15" s="2224"/>
      <c r="AD15" s="635"/>
      <c r="AE15" s="636"/>
      <c r="AF15" s="636"/>
      <c r="AG15" s="637"/>
      <c r="AH15" s="638"/>
      <c r="AI15" s="631"/>
      <c r="AJ15" s="631"/>
      <c r="AK15" s="631"/>
      <c r="AL15" s="631"/>
      <c r="AM15" s="631"/>
      <c r="AN15" s="631"/>
      <c r="AO15" s="631"/>
      <c r="AP15" s="631"/>
      <c r="AQ15" s="631"/>
      <c r="AR15" s="631"/>
      <c r="AS15" s="631"/>
      <c r="AT15" s="631"/>
      <c r="AU15" s="631"/>
      <c r="AV15" s="631"/>
      <c r="AW15" s="631"/>
      <c r="AX15" s="631"/>
      <c r="AY15" s="631"/>
      <c r="AZ15" s="631"/>
      <c r="BA15" s="631"/>
      <c r="BB15" s="631"/>
      <c r="BC15" s="631"/>
      <c r="BD15" s="631"/>
      <c r="BE15" s="631"/>
      <c r="BF15" s="631"/>
      <c r="BG15" s="631"/>
      <c r="BH15" s="631"/>
      <c r="BI15" s="631"/>
      <c r="BJ15" s="631"/>
      <c r="BK15" s="631"/>
      <c r="BL15" s="631"/>
      <c r="BM15" s="631"/>
      <c r="BN15" s="631"/>
      <c r="BO15" s="631"/>
      <c r="BP15" s="631"/>
      <c r="BQ15" s="631"/>
      <c r="BR15" s="631"/>
      <c r="BS15" s="631"/>
      <c r="BT15" s="631"/>
      <c r="BU15" s="631"/>
      <c r="BV15" s="632"/>
      <c r="BW15" s="632"/>
      <c r="BX15" s="632"/>
      <c r="BY15" s="632"/>
      <c r="BZ15" s="632"/>
      <c r="CA15" s="632"/>
      <c r="CB15" s="632"/>
      <c r="CC15" s="632"/>
      <c r="CD15" s="632"/>
      <c r="CE15" s="632"/>
    </row>
    <row s="2747" customFormat="1" customHeight="1" ht="15" hidden="1">
      <c r="A16" s="629"/>
      <c r="B16" s="630"/>
      <c r="C16" s="630"/>
      <c r="D16" s="2218"/>
      <c r="E16" s="2225" t="s">
        <v>552</v>
      </c>
      <c r="F16" s="2226"/>
      <c r="G16" s="2227"/>
      <c r="H16" s="2220" t="str">
        <f>IF(A14="","",INDEX(DIFFERENTIATION_UNMERGE_SYSTEM,MATCH(A14,DIFFERENTIATION_ID_DIFF,0)))</f>
        <v>без дифференциации</v>
      </c>
      <c r="I16" s="2220"/>
      <c r="J16" s="2220"/>
      <c r="K16" s="2220"/>
      <c r="L16" s="2220"/>
      <c r="M16" s="2220"/>
      <c r="N16" s="2220"/>
      <c r="O16" s="2220"/>
      <c r="P16" s="2220"/>
      <c r="Q16" s="2220"/>
      <c r="R16" s="2220"/>
      <c r="S16" s="725"/>
      <c r="T16" s="722"/>
      <c r="U16" s="631"/>
      <c r="V16" s="631"/>
      <c r="W16" s="632"/>
      <c r="X16" s="632"/>
      <c r="Y16" s="632"/>
      <c r="Z16" s="632"/>
      <c r="AA16" s="633"/>
      <c r="AB16" s="634"/>
      <c r="AC16" s="2224"/>
      <c r="AD16" s="635"/>
      <c r="AE16" s="636"/>
      <c r="AF16" s="636"/>
      <c r="AG16" s="637"/>
      <c r="AH16" s="638"/>
      <c r="AI16" s="631"/>
      <c r="AJ16" s="631"/>
      <c r="AK16" s="631"/>
      <c r="AL16" s="631"/>
      <c r="AM16" s="631"/>
      <c r="AN16" s="631"/>
      <c r="AO16" s="631"/>
      <c r="AP16" s="631"/>
      <c r="AQ16" s="631"/>
      <c r="AR16" s="631"/>
      <c r="AS16" s="631"/>
      <c r="AT16" s="631"/>
      <c r="AU16" s="631"/>
      <c r="AV16" s="631"/>
      <c r="AW16" s="631"/>
      <c r="AX16" s="631"/>
      <c r="AY16" s="631"/>
      <c r="AZ16" s="631"/>
      <c r="BA16" s="631"/>
      <c r="BB16" s="631"/>
      <c r="BC16" s="631"/>
      <c r="BD16" s="631"/>
      <c r="BE16" s="631"/>
      <c r="BF16" s="631"/>
      <c r="BG16" s="631"/>
      <c r="BH16" s="631"/>
      <c r="BI16" s="631"/>
      <c r="BJ16" s="631"/>
      <c r="BK16" s="631"/>
      <c r="BL16" s="631"/>
      <c r="BM16" s="631"/>
      <c r="BN16" s="631"/>
      <c r="BO16" s="631"/>
      <c r="BP16" s="631"/>
      <c r="BQ16" s="631"/>
      <c r="BR16" s="631"/>
      <c r="BS16" s="631"/>
      <c r="BT16" s="631"/>
      <c r="BU16" s="631"/>
      <c r="BV16" s="632"/>
      <c r="BW16" s="632"/>
      <c r="BX16" s="632"/>
      <c r="BY16" s="632"/>
      <c r="BZ16" s="632"/>
      <c r="CA16" s="632"/>
      <c r="CB16" s="632"/>
      <c r="CC16" s="632"/>
      <c r="CD16" s="632"/>
      <c r="CE16" s="632"/>
    </row>
    <row s="2747" customFormat="1" customHeight="1" ht="22.5" hidden="1">
      <c r="A17" s="639"/>
      <c r="B17" s="423"/>
      <c r="C17" s="418"/>
      <c r="D17" s="2218"/>
      <c r="E17" s="2222" t="s">
        <v>597</v>
      </c>
      <c r="F17" s="2222"/>
      <c r="G17" s="2222"/>
      <c r="H17" s="2222"/>
      <c r="I17" s="2222"/>
      <c r="J17" s="2222"/>
      <c r="K17" s="2222"/>
      <c r="L17" s="2222"/>
      <c r="M17" s="2222"/>
      <c r="N17" s="2222"/>
      <c r="O17" s="2222"/>
      <c r="P17" s="2222"/>
      <c r="Q17" s="564">
        <f>SUMIF(T18:T19,"i",Q18:Q19)</f>
        <v>0</v>
      </c>
      <c r="R17" s="1024"/>
      <c r="S17" s="903" t="s">
        <v>598</v>
      </c>
      <c r="T17" s="723" t="s">
        <v>599</v>
      </c>
      <c r="U17" s="2223">
        <v>1</v>
      </c>
      <c r="V17" s="2223" t="str">
        <f>INDEX(B_FHD_FLAG_INDEX_1,1,MATCH(A14,B_FHD_FLAG_DIFFERENTIATION,0))</f>
        <v>отсутствует</v>
      </c>
      <c r="W17" s="423"/>
      <c r="X17" s="423"/>
      <c r="Y17" s="423"/>
      <c r="Z17" s="423"/>
      <c r="AA17" s="517"/>
      <c r="AB17" s="423"/>
      <c r="AC17" s="2224"/>
      <c r="AD17" s="635"/>
      <c r="AE17" s="423"/>
      <c r="AF17" s="423"/>
      <c r="AG17" s="517"/>
      <c r="AH17" s="517"/>
      <c r="AI17" s="517"/>
      <c r="AJ17" s="517"/>
      <c r="AK17" s="517"/>
      <c r="AL17" s="517"/>
      <c r="AM17" s="517"/>
      <c r="AN17" s="517"/>
      <c r="AO17" s="517"/>
      <c r="AP17" s="517"/>
      <c r="AQ17" s="517"/>
      <c r="AR17" s="517"/>
      <c r="AS17" s="517"/>
      <c r="AT17" s="517"/>
      <c r="AU17" s="517"/>
      <c r="AV17" s="517"/>
      <c r="AW17" s="517"/>
      <c r="AX17" s="517"/>
      <c r="AY17" s="517"/>
      <c r="AZ17" s="517"/>
      <c r="BA17" s="517"/>
      <c r="BB17" s="517"/>
      <c r="BC17" s="517"/>
      <c r="BD17" s="517"/>
      <c r="BE17" s="517"/>
      <c r="BF17" s="517"/>
      <c r="BG17" s="517"/>
      <c r="BH17" s="517"/>
      <c r="BI17" s="517"/>
      <c r="BJ17" s="517"/>
      <c r="BK17" s="517"/>
      <c r="BL17" s="517"/>
      <c r="BM17" s="517"/>
      <c r="BN17" s="517"/>
      <c r="BO17" s="517"/>
      <c r="BP17" s="517"/>
      <c r="BQ17" s="517"/>
      <c r="BR17" s="517"/>
      <c r="BS17" s="517"/>
      <c r="BT17" s="517"/>
      <c r="BU17" s="517"/>
      <c r="BV17" s="423"/>
      <c r="BW17" s="423"/>
      <c r="BX17" s="423"/>
      <c r="BY17" s="423"/>
      <c r="BZ17" s="423"/>
      <c r="CA17" s="423"/>
      <c r="CB17" s="423"/>
      <c r="CC17" s="423"/>
      <c r="CD17" s="423"/>
      <c r="CE17" s="423"/>
    </row>
    <row s="2747" customFormat="1" customHeight="1" ht="11.25" hidden="1">
      <c r="A18" s="640"/>
      <c r="B18" s="517"/>
      <c r="C18" s="517"/>
      <c r="D18" s="2218"/>
      <c r="E18" s="641"/>
      <c r="F18" s="641">
        <v>0</v>
      </c>
      <c r="G18" s="641"/>
      <c r="H18" s="641"/>
      <c r="I18" s="641"/>
      <c r="J18" s="641"/>
      <c r="K18" s="641"/>
      <c r="L18" s="641"/>
      <c r="M18" s="641"/>
      <c r="N18" s="641"/>
      <c r="O18" s="641"/>
      <c r="P18" s="641"/>
      <c r="Q18" s="641"/>
      <c r="R18" s="641"/>
      <c r="S18" s="642"/>
      <c r="T18" s="724"/>
      <c r="U18" s="2223"/>
      <c r="V18" s="2223"/>
      <c r="W18" s="517"/>
      <c r="X18" s="517"/>
      <c r="Y18" s="517"/>
      <c r="Z18" s="517"/>
      <c r="AA18" s="517"/>
      <c r="AB18" s="423"/>
      <c r="AC18" s="2224"/>
      <c r="AD18" s="635"/>
      <c r="AE18" s="423"/>
      <c r="AF18" s="423"/>
      <c r="AG18" s="517"/>
      <c r="AH18" s="517"/>
      <c r="AI18" s="517"/>
      <c r="AJ18" s="517"/>
      <c r="AK18" s="517"/>
      <c r="AL18" s="517"/>
      <c r="AM18" s="517"/>
      <c r="AN18" s="517"/>
      <c r="AO18" s="517"/>
      <c r="AP18" s="517"/>
      <c r="AQ18" s="517"/>
      <c r="AR18" s="517"/>
      <c r="AS18" s="517"/>
      <c r="AT18" s="517"/>
      <c r="AU18" s="517"/>
      <c r="AV18" s="517"/>
      <c r="AW18" s="517"/>
      <c r="AX18" s="517"/>
      <c r="AY18" s="517"/>
      <c r="AZ18" s="517"/>
      <c r="BA18" s="517"/>
      <c r="BB18" s="517"/>
      <c r="BC18" s="517"/>
      <c r="BD18" s="517"/>
      <c r="BE18" s="517"/>
      <c r="BF18" s="517"/>
      <c r="BG18" s="517"/>
      <c r="BH18" s="517"/>
      <c r="BI18" s="517"/>
      <c r="BJ18" s="517"/>
      <c r="BK18" s="517"/>
      <c r="BL18" s="517"/>
      <c r="BM18" s="517"/>
      <c r="BN18" s="517"/>
      <c r="BO18" s="517"/>
      <c r="BP18" s="517"/>
      <c r="BQ18" s="517"/>
      <c r="BR18" s="517"/>
      <c r="BS18" s="517"/>
      <c r="BT18" s="517"/>
      <c r="BU18" s="517"/>
      <c r="BV18" s="517"/>
      <c r="BW18" s="517"/>
      <c r="BX18" s="517"/>
      <c r="BY18" s="517"/>
      <c r="BZ18" s="517"/>
      <c r="CA18" s="517"/>
      <c r="CB18" s="517"/>
      <c r="CC18" s="517"/>
      <c r="CD18" s="517"/>
      <c r="CE18" s="517"/>
    </row>
    <row s="2747" customFormat="1" customHeight="1" ht="11.25" hidden="1">
      <c r="A19" s="639"/>
      <c r="B19" s="423"/>
      <c r="C19" s="418"/>
      <c r="D19" s="2218"/>
      <c r="E19" s="655" t="s">
        <v>24</v>
      </c>
      <c r="F19" s="656" t="s">
        <v>24</v>
      </c>
      <c r="G19" s="656" t="s">
        <v>24</v>
      </c>
      <c r="H19" s="657" t="s">
        <v>24</v>
      </c>
      <c r="I19" s="657"/>
      <c r="J19" s="657"/>
      <c r="K19" s="657"/>
      <c r="L19" s="657"/>
      <c r="M19" s="657"/>
      <c r="N19" s="657"/>
      <c r="O19" s="657"/>
      <c r="P19" s="657"/>
      <c r="Q19" s="657"/>
      <c r="R19" s="658"/>
      <c r="S19" s="1027"/>
      <c r="T19" s="724"/>
      <c r="U19" s="2223"/>
      <c r="V19" s="2223"/>
      <c r="W19" s="423"/>
      <c r="X19" s="423"/>
      <c r="Y19" s="423"/>
      <c r="Z19" s="423"/>
      <c r="AA19" s="517"/>
      <c r="AB19" s="423"/>
      <c r="AC19" s="2224"/>
      <c r="AD19" s="635"/>
      <c r="AE19" s="423"/>
      <c r="AF19" s="423"/>
      <c r="AG19" s="517"/>
      <c r="AH19" s="517"/>
      <c r="AI19" s="517"/>
      <c r="AJ19" s="517"/>
      <c r="AK19" s="517"/>
      <c r="AL19" s="517"/>
      <c r="AM19" s="517"/>
      <c r="AN19" s="517"/>
      <c r="AO19" s="517"/>
      <c r="AP19" s="517"/>
      <c r="AQ19" s="517"/>
      <c r="AR19" s="517"/>
      <c r="AS19" s="517"/>
      <c r="AT19" s="517"/>
      <c r="AU19" s="517"/>
      <c r="AV19" s="517"/>
      <c r="AW19" s="517"/>
      <c r="AX19" s="517"/>
      <c r="AY19" s="517"/>
      <c r="AZ19" s="517"/>
      <c r="BA19" s="517"/>
      <c r="BB19" s="517"/>
      <c r="BC19" s="517"/>
      <c r="BD19" s="517"/>
      <c r="BE19" s="517"/>
      <c r="BF19" s="517"/>
      <c r="BG19" s="517"/>
      <c r="BH19" s="517"/>
      <c r="BI19" s="517"/>
      <c r="BJ19" s="517"/>
      <c r="BK19" s="517"/>
      <c r="BL19" s="517"/>
      <c r="BM19" s="517"/>
      <c r="BN19" s="517"/>
      <c r="BO19" s="517"/>
      <c r="BP19" s="517"/>
      <c r="BQ19" s="517"/>
      <c r="BR19" s="517"/>
      <c r="BS19" s="517"/>
      <c r="BT19" s="517"/>
      <c r="BU19" s="517"/>
      <c r="BV19" s="423"/>
      <c r="BW19" s="423"/>
      <c r="BX19" s="423"/>
      <c r="BY19" s="423"/>
      <c r="BZ19" s="423"/>
      <c r="CA19" s="423"/>
      <c r="CB19" s="423"/>
      <c r="CC19" s="423"/>
      <c r="CD19" s="423"/>
      <c r="CE19" s="423"/>
    </row>
    <row s="2747" customFormat="1" customHeight="1" ht="22.5" hidden="1">
      <c r="A20" s="639"/>
      <c r="B20" s="423"/>
      <c r="C20" s="418"/>
      <c r="D20" s="2218"/>
      <c r="E20" s="2222" t="s">
        <v>600</v>
      </c>
      <c r="F20" s="2222"/>
      <c r="G20" s="2222"/>
      <c r="H20" s="2222"/>
      <c r="I20" s="2222"/>
      <c r="J20" s="2222"/>
      <c r="K20" s="2222"/>
      <c r="L20" s="2222"/>
      <c r="M20" s="2222"/>
      <c r="N20" s="2222"/>
      <c r="O20" s="2222"/>
      <c r="P20" s="2222"/>
      <c r="Q20" s="564">
        <f>SUMIF(T21:T22,"i",Q21:Q22)</f>
        <v>0</v>
      </c>
      <c r="R20" s="1024"/>
      <c r="S20" s="715" t="s">
        <v>601</v>
      </c>
      <c r="T20" s="723" t="s">
        <v>599</v>
      </c>
      <c r="U20" s="2223">
        <v>2</v>
      </c>
      <c r="V20" s="2223" t="str">
        <f>INDEX(B_FHD_FLAG_INDEX_2,1,MATCH(A14,B_FHD_FLAG_DIFFERENTIATION,0))</f>
        <v>отсутствует</v>
      </c>
      <c r="W20" s="423"/>
      <c r="X20" s="423"/>
      <c r="Y20" s="423"/>
      <c r="Z20" s="423"/>
      <c r="AA20" s="517"/>
      <c r="AB20" s="423"/>
      <c r="AC20" s="712"/>
      <c r="AD20" s="635"/>
      <c r="AE20" s="423"/>
      <c r="AF20" s="423"/>
      <c r="AG20" s="517"/>
      <c r="AH20" s="517"/>
      <c r="AI20" s="517"/>
      <c r="AJ20" s="517"/>
      <c r="AK20" s="517"/>
      <c r="AL20" s="517"/>
      <c r="AM20" s="517"/>
      <c r="AN20" s="517"/>
      <c r="AO20" s="517"/>
      <c r="AP20" s="517"/>
      <c r="AQ20" s="517"/>
      <c r="AR20" s="517"/>
      <c r="AS20" s="517"/>
      <c r="AT20" s="517"/>
      <c r="AU20" s="517"/>
      <c r="AV20" s="517"/>
      <c r="AW20" s="517"/>
      <c r="AX20" s="517"/>
      <c r="AY20" s="517"/>
      <c r="AZ20" s="517"/>
      <c r="BA20" s="517"/>
      <c r="BB20" s="517"/>
      <c r="BC20" s="517"/>
      <c r="BD20" s="517"/>
      <c r="BE20" s="517"/>
      <c r="BF20" s="517"/>
      <c r="BG20" s="517"/>
      <c r="BH20" s="517"/>
      <c r="BI20" s="517"/>
      <c r="BJ20" s="517"/>
      <c r="BK20" s="517"/>
      <c r="BL20" s="517"/>
      <c r="BM20" s="517"/>
      <c r="BN20" s="517"/>
      <c r="BO20" s="517"/>
      <c r="BP20" s="517"/>
      <c r="BQ20" s="517"/>
      <c r="BR20" s="517"/>
      <c r="BS20" s="517"/>
      <c r="BT20" s="517"/>
      <c r="BU20" s="517"/>
      <c r="BV20" s="423"/>
      <c r="BW20" s="423"/>
      <c r="BX20" s="423"/>
      <c r="BY20" s="423"/>
      <c r="BZ20" s="423"/>
      <c r="CA20" s="423"/>
      <c r="CB20" s="423"/>
      <c r="CC20" s="423"/>
      <c r="CD20" s="423"/>
      <c r="CE20" s="423"/>
    </row>
    <row s="2747" customFormat="1" customHeight="1" ht="11.25" hidden="1">
      <c r="A21" s="714"/>
      <c r="B21" s="517"/>
      <c r="C21" s="517"/>
      <c r="D21" s="2218"/>
      <c r="E21" s="641"/>
      <c r="F21" s="641">
        <v>0</v>
      </c>
      <c r="G21" s="641"/>
      <c r="H21" s="641"/>
      <c r="I21" s="641"/>
      <c r="J21" s="641"/>
      <c r="K21" s="641"/>
      <c r="L21" s="641"/>
      <c r="M21" s="641"/>
      <c r="N21" s="641"/>
      <c r="O21" s="641"/>
      <c r="P21" s="641"/>
      <c r="Q21" s="641"/>
      <c r="R21" s="641"/>
      <c r="S21" s="642"/>
      <c r="T21" s="724"/>
      <c r="U21" s="2223"/>
      <c r="V21" s="2223"/>
      <c r="W21" s="517"/>
      <c r="X21" s="517"/>
      <c r="Y21" s="517"/>
      <c r="Z21" s="517"/>
      <c r="AA21" s="517"/>
      <c r="AB21" s="423"/>
      <c r="AC21" s="712"/>
      <c r="AD21" s="635"/>
      <c r="AE21" s="423"/>
      <c r="AF21" s="423"/>
      <c r="AG21" s="517"/>
      <c r="AH21" s="517"/>
      <c r="AI21" s="517"/>
      <c r="AJ21" s="517"/>
      <c r="AK21" s="517"/>
      <c r="AL21" s="517"/>
      <c r="AM21" s="517"/>
      <c r="AN21" s="517"/>
      <c r="AO21" s="517"/>
      <c r="AP21" s="517"/>
      <c r="AQ21" s="517"/>
      <c r="AR21" s="517"/>
      <c r="AS21" s="517"/>
      <c r="AT21" s="517"/>
      <c r="AU21" s="517"/>
      <c r="AV21" s="517"/>
      <c r="AW21" s="517"/>
      <c r="AX21" s="517"/>
      <c r="AY21" s="517"/>
      <c r="AZ21" s="517"/>
      <c r="BA21" s="517"/>
      <c r="BB21" s="517"/>
      <c r="BC21" s="517"/>
      <c r="BD21" s="517"/>
      <c r="BE21" s="517"/>
      <c r="BF21" s="517"/>
      <c r="BG21" s="517"/>
      <c r="BH21" s="517"/>
      <c r="BI21" s="517"/>
      <c r="BJ21" s="517"/>
      <c r="BK21" s="517"/>
      <c r="BL21" s="517"/>
      <c r="BM21" s="517"/>
      <c r="BN21" s="517"/>
      <c r="BO21" s="517"/>
      <c r="BP21" s="517"/>
      <c r="BQ21" s="517"/>
      <c r="BR21" s="517"/>
      <c r="BS21" s="517"/>
      <c r="BT21" s="517"/>
      <c r="BU21" s="517"/>
      <c r="BV21" s="517"/>
      <c r="BW21" s="517"/>
      <c r="BX21" s="517"/>
      <c r="BY21" s="517"/>
      <c r="BZ21" s="517"/>
      <c r="CA21" s="517"/>
      <c r="CB21" s="517"/>
      <c r="CC21" s="517"/>
      <c r="CD21" s="517"/>
      <c r="CE21" s="517"/>
    </row>
    <row s="2747" customFormat="1" customHeight="1" ht="11.25" hidden="1">
      <c r="A22" s="639"/>
      <c r="B22" s="423"/>
      <c r="C22" s="418"/>
      <c r="D22" s="2219"/>
      <c r="E22" s="655" t="s">
        <v>24</v>
      </c>
      <c r="F22" s="656" t="s">
        <v>24</v>
      </c>
      <c r="G22" s="656" t="s">
        <v>24</v>
      </c>
      <c r="H22" s="657" t="s">
        <v>24</v>
      </c>
      <c r="I22" s="657"/>
      <c r="J22" s="657"/>
      <c r="K22" s="657"/>
      <c r="L22" s="657"/>
      <c r="M22" s="657"/>
      <c r="N22" s="657"/>
      <c r="O22" s="657"/>
      <c r="P22" s="657"/>
      <c r="Q22" s="657"/>
      <c r="R22" s="658"/>
      <c r="S22" s="1027"/>
      <c r="T22" s="724"/>
      <c r="U22" s="2223"/>
      <c r="V22" s="2223"/>
      <c r="W22" s="423"/>
      <c r="X22" s="423"/>
      <c r="Y22" s="423"/>
      <c r="Z22" s="423"/>
      <c r="AA22" s="517"/>
      <c r="AB22" s="423"/>
      <c r="AC22" s="712"/>
      <c r="AD22" s="635"/>
      <c r="AE22" s="423"/>
      <c r="AF22" s="423"/>
      <c r="AG22" s="517"/>
      <c r="AH22" s="517"/>
      <c r="AI22" s="517"/>
      <c r="AJ22" s="517"/>
      <c r="AK22" s="517"/>
      <c r="AL22" s="517"/>
      <c r="AM22" s="517"/>
      <c r="AN22" s="517"/>
      <c r="AO22" s="517"/>
      <c r="AP22" s="517"/>
      <c r="AQ22" s="517"/>
      <c r="AR22" s="517"/>
      <c r="AS22" s="517"/>
      <c r="AT22" s="517"/>
      <c r="AU22" s="517"/>
      <c r="AV22" s="517"/>
      <c r="AW22" s="517"/>
      <c r="AX22" s="517"/>
      <c r="AY22" s="517"/>
      <c r="AZ22" s="517"/>
      <c r="BA22" s="517"/>
      <c r="BB22" s="517"/>
      <c r="BC22" s="517"/>
      <c r="BD22" s="517"/>
      <c r="BE22" s="517"/>
      <c r="BF22" s="517"/>
      <c r="BG22" s="517"/>
      <c r="BH22" s="517"/>
      <c r="BI22" s="517"/>
      <c r="BJ22" s="517"/>
      <c r="BK22" s="517"/>
      <c r="BL22" s="517"/>
      <c r="BM22" s="517"/>
      <c r="BN22" s="517"/>
      <c r="BO22" s="517"/>
      <c r="BP22" s="517"/>
      <c r="BQ22" s="517"/>
      <c r="BR22" s="517"/>
      <c r="BS22" s="517"/>
      <c r="BT22" s="517"/>
      <c r="BU22" s="517"/>
      <c r="BV22" s="423"/>
      <c r="BW22" s="423"/>
      <c r="BX22" s="423"/>
      <c r="BY22" s="423"/>
      <c r="BZ22" s="423"/>
      <c r="CA22" s="423"/>
      <c r="CB22" s="423"/>
      <c r="CC22" s="423"/>
      <c r="CD22" s="423"/>
      <c r="CE22" s="423"/>
    </row>
    <row customHeight="1" ht="18.75">
      <c r="D23" s="1054"/>
      <c r="E23" s="1054"/>
      <c r="F23" s="1054"/>
      <c r="G23" s="1054"/>
      <c r="H23" s="1054"/>
      <c r="I23" s="1054"/>
      <c r="J23" s="1054"/>
      <c r="K23" s="1054"/>
      <c r="L23" s="1054"/>
      <c r="M23" s="1054"/>
      <c r="N23" s="1054"/>
      <c r="O23" s="1054"/>
      <c r="P23" s="1054"/>
      <c r="Q23" s="1054"/>
      <c r="R23" s="1054"/>
      <c r="S23" s="1054"/>
      <c r="T23" s="330"/>
    </row>
    <row customHeight="1" ht="11.25">
      <c r="D24" s="515"/>
    </row>
    <row customHeight="1" ht="11.25">
      <c r="D25" s="660"/>
      <c r="E25" s="660"/>
      <c r="F25" s="660"/>
      <c r="G25" s="661"/>
    </row>
    <row r="27" customHeight="1" ht="11.25">
      <c r="D27" s="662"/>
      <c r="E27" s="2221"/>
      <c r="F27" s="2221"/>
      <c r="G27" s="2221"/>
      <c r="H27" s="2221"/>
      <c r="I27" s="2221"/>
      <c r="J27" s="2221"/>
      <c r="K27" s="2221"/>
      <c r="L27" s="2221"/>
      <c r="M27" s="2221"/>
      <c r="N27" s="2221"/>
      <c r="O27" s="2221"/>
      <c r="P27" s="2221"/>
      <c r="Q27" s="2221"/>
      <c r="R27" s="2221"/>
    </row>
    <row customHeight="1" ht="11.25">
      <c r="F28" s="764"/>
      <c r="G28" s="764"/>
    </row>
  </sheetData>
  <sheetProtection formatColumns="0" formatRows="0" autoFilter="0" sort="0" insertRows="0" insertColumns="1" deleteRows="0" deleteColumns="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7E445B-2F11-6358-0088-AE5B611FCF88}" mc:Ignorable="x14ac xr xr2 xr3">
  <sheetPr>
    <tabColor theme="9" tint="-0.25"/>
  </sheetPr>
  <dimension ref="A1:AE218"/>
  <sheetViews>
    <sheetView topLeftCell="A1" showGridLines="0" zoomScale="90" workbookViewId="0">
      <selection activeCell="A1" sqref="A1"/>
    </sheetView>
  </sheetViews>
  <sheetFormatPr defaultColWidth="9.140625" customHeight="1" defaultRowHeight="11.25"/>
  <cols>
    <col min="1" max="1" style="4041" width="10.7109375" hidden="1" customWidth="1"/>
    <col min="2" max="2" style="3293" width="16.8515625" hidden="1" customWidth="1"/>
    <col min="3" max="3" style="4032" width="5.57421875" hidden="1" customWidth="1"/>
    <col min="4" max="4" style="4144" width="3.7109375" customWidth="1"/>
    <col min="5" max="5" style="2950" width="7.7109375" customWidth="1"/>
    <col min="6" max="6" style="2950" width="56.140625" customWidth="1"/>
    <col min="7" max="7" style="2950" width="10.421875" customWidth="1"/>
    <col min="8" max="8" style="2950" width="40.7109375" hidden="1" customWidth="1"/>
    <col min="9" max="9" style="2950" width="40.7109375" customWidth="1"/>
    <col min="10" max="10" style="2950" width="102.8515625" customWidth="1"/>
    <col min="11" max="11" style="3293" width="9.7109375" customWidth="1"/>
    <col min="12" max="12" style="4032" width="5.28125" customWidth="1"/>
    <col min="13" max="13" style="4032" width="3.7109375" customWidth="1"/>
    <col min="14" max="17" style="3293" width="3.7109375" customWidth="1"/>
    <col min="18" max="18" style="4032" width="10.57421875" customWidth="1"/>
    <col min="19" max="19" style="3293" width="34.7109375" customWidth="1"/>
    <col min="20" max="20" style="3293" width="9.421875" customWidth="1"/>
    <col min="21" max="21" style="4045" width="9.140625"/>
    <col min="22" max="26" style="3293" width="9.140625"/>
    <col min="27" max="31" style="2949" width="9.140625"/>
  </cols>
  <sheetData>
    <row s="3293" customFormat="1" customHeight="1" ht="11.25" hidden="1">
      <c r="A1" s="994"/>
      <c r="C1" s="1676"/>
      <c r="D1" s="543"/>
      <c r="H1" s="1168">
        <v>4</v>
      </c>
      <c r="I1" s="1168">
        <v>4</v>
      </c>
      <c r="L1" s="1676"/>
      <c r="M1" s="1676"/>
      <c r="R1" s="1676"/>
    </row>
    <row s="3293" customFormat="1" customHeight="1" ht="22.5" hidden="1">
      <c r="A2" s="994"/>
      <c r="C2" s="1676"/>
      <c r="D2" s="544"/>
      <c r="E2" s="1677"/>
      <c r="F2" s="546"/>
      <c r="G2" s="1679" t="s">
        <v>539</v>
      </c>
      <c r="H2" s="547"/>
      <c r="I2" s="547"/>
      <c r="J2" s="548" t="s">
        <v>602</v>
      </c>
      <c r="K2" s="549"/>
      <c r="L2" s="1676"/>
      <c r="M2" s="1676"/>
      <c r="R2" s="1676"/>
      <c r="U2" s="550"/>
      <c r="AA2" s="1672"/>
      <c r="AB2" s="1672"/>
      <c r="AC2" s="1672"/>
      <c r="AD2" s="1672"/>
      <c r="AE2" s="1672"/>
    </row>
    <row customHeight="1" ht="11.25" hidden="1"/>
    <row s="2949" customFormat="1" customHeight="1" ht="11.25" hidden="1">
      <c r="A4" s="994"/>
      <c r="B4" s="1168"/>
      <c r="C4" s="1676"/>
      <c r="D4" s="360"/>
      <c r="J4" s="1672">
        <v>4</v>
      </c>
      <c r="K4" s="1168"/>
      <c r="L4" s="1676"/>
      <c r="M4" s="1676"/>
      <c r="N4" s="1168"/>
      <c r="O4" s="1168"/>
      <c r="P4" s="1168"/>
      <c r="Q4" s="1168"/>
      <c r="R4" s="1676"/>
      <c r="S4" s="1168"/>
      <c r="T4" s="1168"/>
      <c r="U4" s="550"/>
      <c r="V4" s="1168"/>
      <c r="W4" s="1168"/>
      <c r="X4" s="1168"/>
      <c r="Y4" s="1168"/>
      <c r="Z4" s="1168"/>
    </row>
    <row r="6" customHeight="1" ht="22.5">
      <c r="E6" s="2151" t="s">
        <v>603</v>
      </c>
      <c r="F6" s="2151"/>
      <c r="G6" s="2151"/>
      <c r="H6" s="2151"/>
      <c r="I6" s="2151"/>
      <c r="J6" s="562"/>
    </row>
    <row customHeight="1" ht="24">
      <c r="E7" s="2141" t="str">
        <f>IF(org=0,"Не определено",org)</f>
        <v>МУП г. Азова "Теплоэнерго"</v>
      </c>
      <c r="F7" s="2141"/>
      <c r="G7" s="2141"/>
      <c r="H7" s="2141"/>
      <c r="I7" s="2141"/>
    </row>
    <row customHeight="1" ht="11.25">
      <c r="E8" s="1143"/>
      <c r="F8" s="1143"/>
      <c r="G8" s="1143"/>
      <c r="H8" s="1143"/>
      <c r="I8" s="1143"/>
    </row>
    <row s="4032" customFormat="1" customHeight="1" ht="0.75">
      <c r="A9" s="1175"/>
      <c r="D9" s="1682"/>
      <c r="H9" s="895"/>
      <c r="I9" s="895" t="s">
        <v>116</v>
      </c>
    </row>
    <row customHeight="1" ht="11.25">
      <c r="E10" s="717"/>
      <c r="F10" s="2213" t="s">
        <v>104</v>
      </c>
      <c r="G10" s="2214"/>
      <c r="H10" s="1592" t="str">
        <f>IF(H9="","",INDEX(DIFFERENTIATION_UNMERGE_VD,MATCH(H9,DIFFERENTIATION_ID_DIFF,0)))</f>
        <v/>
      </c>
      <c r="I10" s="1592">
        <f>IF(I9="","",INDEX(DIFFERENTIATION_UNMERGE_VD,MATCH(I9,DIFFERENTIATION_ID_DIFF,0)))</f>
        <v>0</v>
      </c>
      <c r="J10" s="1971"/>
    </row>
    <row customHeight="1" ht="11.25">
      <c r="E11" s="717"/>
      <c r="F11" s="2213" t="s">
        <v>551</v>
      </c>
      <c r="G11" s="2214"/>
      <c r="H11" s="1592" t="str">
        <f>IF(H9="","",INDEX(DIFFERENTIATION_UNMERGE_AREA,MATCH(H9,DIFFERENTIATION_ID_DIFF,0)))</f>
        <v/>
      </c>
      <c r="I11" s="1592" t="str">
        <f>IF(I9="","",INDEX(DIFFERENTIATION_UNMERGE_AREA,MATCH(I9,DIFFERENTIATION_ID_DIFF,0)))</f>
        <v/>
      </c>
      <c r="J11" s="1971"/>
    </row>
    <row customHeight="1" ht="11.25" hidden="1">
      <c r="E12" s="1702"/>
      <c r="F12" s="2228" t="s">
        <v>552</v>
      </c>
      <c r="G12" s="2229"/>
      <c r="H12" s="1703" t="str">
        <f>IF(H9="","",INDEX(DIFFERENTIATION_UNMERGE_SYSTEM,MATCH(H9,DIFFERENTIATION_ID_DIFF,0)))</f>
        <v/>
      </c>
      <c r="I12" s="1703" t="str">
        <f>IF(I9="","",INDEX(DIFFERENTIATION_UNMERGE_SYSTEM,MATCH(I9,DIFFERENTIATION_ID_DIFF,0)))</f>
        <v>без дифференциации</v>
      </c>
      <c r="J12" s="1971"/>
    </row>
    <row customHeight="1" ht="11.25">
      <c r="E13" s="2215" t="s">
        <v>291</v>
      </c>
      <c r="F13" s="2216"/>
      <c r="G13" s="2216"/>
      <c r="H13" s="1591"/>
      <c r="I13" s="1591"/>
      <c r="J13" s="1971"/>
    </row>
    <row customHeight="1" ht="22.5">
      <c r="E14" s="1679" t="s">
        <v>87</v>
      </c>
      <c r="F14" s="1674" t="s">
        <v>293</v>
      </c>
      <c r="G14" s="1674" t="s">
        <v>553</v>
      </c>
      <c r="H14" s="1674" t="s">
        <v>294</v>
      </c>
      <c r="I14" s="1674" t="s">
        <v>294</v>
      </c>
      <c r="J14" s="1971"/>
    </row>
    <row customHeight="1" ht="18.75">
      <c r="D15" s="1678"/>
      <c r="E15" s="1670" t="s">
        <v>108</v>
      </c>
      <c r="F15" s="713" t="s">
        <v>604</v>
      </c>
      <c r="G15" s="1686" t="s">
        <v>539</v>
      </c>
      <c r="H15" s="563"/>
      <c r="I15" s="563"/>
      <c r="J15" s="277" t="s">
        <v>605</v>
      </c>
      <c r="K15" s="549" t="s">
        <v>606</v>
      </c>
    </row>
    <row customHeight="1" ht="33.75">
      <c r="D16" s="1678"/>
      <c r="E16" s="1670" t="s">
        <v>109</v>
      </c>
      <c r="F16" s="713" t="s">
        <v>607</v>
      </c>
      <c r="G16" s="1686" t="s">
        <v>539</v>
      </c>
      <c r="H16" s="564">
        <f>SUM(H17,H20:H32)</f>
        <v>0</v>
      </c>
      <c r="I16" s="564">
        <f>SUM(I17,I20:I32)</f>
        <v>0</v>
      </c>
      <c r="J16" s="277" t="s">
        <v>608</v>
      </c>
      <c r="K16" s="549" t="s">
        <v>606</v>
      </c>
    </row>
    <row customHeight="1" ht="18.75">
      <c r="D17" s="1678"/>
      <c r="E17" s="1704" t="s">
        <v>609</v>
      </c>
      <c r="F17" s="961" t="s">
        <v>610</v>
      </c>
      <c r="G17" s="1683" t="s">
        <v>539</v>
      </c>
      <c r="H17" s="563"/>
      <c r="I17" s="563"/>
      <c r="J17" s="277" t="s">
        <v>611</v>
      </c>
      <c r="K17" s="549"/>
    </row>
    <row customHeight="1" ht="22.5">
      <c r="D18" s="1678"/>
      <c r="E18" s="1704" t="s">
        <v>612</v>
      </c>
      <c r="F18" s="1690" t="s">
        <v>613</v>
      </c>
      <c r="G18" s="1683" t="s">
        <v>539</v>
      </c>
      <c r="H18" s="563"/>
      <c r="I18" s="563"/>
      <c r="J18" s="277" t="s">
        <v>614</v>
      </c>
      <c r="K18" s="549"/>
    </row>
    <row customHeight="1" ht="33.75">
      <c r="D19" s="1678"/>
      <c r="E19" s="1704" t="s">
        <v>615</v>
      </c>
      <c r="F19" s="1690" t="s">
        <v>616</v>
      </c>
      <c r="G19" s="1683" t="s">
        <v>539</v>
      </c>
      <c r="H19" s="563"/>
      <c r="I19" s="563"/>
      <c r="J19" s="277"/>
      <c r="K19" s="549"/>
    </row>
    <row customHeight="1" ht="18.75">
      <c r="D20" s="1678"/>
      <c r="E20" s="1704" t="s">
        <v>298</v>
      </c>
      <c r="F20" s="961" t="s">
        <v>617</v>
      </c>
      <c r="G20" s="1683" t="s">
        <v>539</v>
      </c>
      <c r="H20" s="563"/>
      <c r="I20" s="563"/>
      <c r="J20" s="277" t="s">
        <v>618</v>
      </c>
      <c r="K20" s="549"/>
    </row>
    <row customHeight="1" ht="18.75">
      <c r="D21" s="1678"/>
      <c r="E21" s="1704" t="s">
        <v>619</v>
      </c>
      <c r="F21" s="1690" t="s">
        <v>620</v>
      </c>
      <c r="G21" s="1683" t="s">
        <v>539</v>
      </c>
      <c r="H21" s="563"/>
      <c r="I21" s="563"/>
      <c r="J21" s="277"/>
      <c r="K21" s="549"/>
    </row>
    <row customHeight="1" ht="18.75">
      <c r="D22" s="1678"/>
      <c r="E22" s="1704" t="s">
        <v>621</v>
      </c>
      <c r="F22" s="1690" t="s">
        <v>622</v>
      </c>
      <c r="G22" s="1683" t="s">
        <v>539</v>
      </c>
      <c r="H22" s="563"/>
      <c r="I22" s="563"/>
      <c r="J22" s="277"/>
      <c r="K22" s="549"/>
    </row>
    <row customHeight="1" ht="22.5">
      <c r="D23" s="1678"/>
      <c r="E23" s="1704" t="s">
        <v>301</v>
      </c>
      <c r="F23" s="961" t="s">
        <v>623</v>
      </c>
      <c r="G23" s="1683" t="s">
        <v>539</v>
      </c>
      <c r="H23" s="563"/>
      <c r="I23" s="563"/>
      <c r="J23" s="277" t="s">
        <v>624</v>
      </c>
      <c r="K23" s="549"/>
    </row>
    <row customHeight="1" ht="18.75">
      <c r="D24" s="1678"/>
      <c r="E24" s="1704" t="s">
        <v>625</v>
      </c>
      <c r="F24" s="1690" t="s">
        <v>626</v>
      </c>
      <c r="G24" s="1683" t="s">
        <v>539</v>
      </c>
      <c r="H24" s="563"/>
      <c r="I24" s="563"/>
      <c r="J24" s="277"/>
      <c r="K24" s="549"/>
    </row>
    <row customHeight="1" ht="33.75">
      <c r="D25" s="1678"/>
      <c r="E25" s="1704" t="s">
        <v>627</v>
      </c>
      <c r="F25" s="1690" t="s">
        <v>628</v>
      </c>
      <c r="G25" s="1683" t="s">
        <v>539</v>
      </c>
      <c r="H25" s="563"/>
      <c r="I25" s="563"/>
      <c r="J25" s="277"/>
      <c r="K25" s="549"/>
    </row>
    <row customHeight="1" ht="22.5">
      <c r="D26" s="1678"/>
      <c r="E26" s="1704" t="s">
        <v>629</v>
      </c>
      <c r="F26" s="961" t="s">
        <v>630</v>
      </c>
      <c r="G26" s="1683" t="s">
        <v>539</v>
      </c>
      <c r="H26" s="563"/>
      <c r="I26" s="563"/>
      <c r="J26" s="277" t="s">
        <v>631</v>
      </c>
      <c r="K26" s="549"/>
    </row>
    <row customHeight="1" ht="18.75">
      <c r="D27" s="1678"/>
      <c r="E27" s="1715" t="s">
        <v>632</v>
      </c>
      <c r="F27" s="1690" t="s">
        <v>633</v>
      </c>
      <c r="G27" s="1694" t="s">
        <v>539</v>
      </c>
      <c r="H27" s="1716"/>
      <c r="I27" s="1716"/>
      <c r="J27" s="277"/>
      <c r="K27" s="549"/>
    </row>
    <row customHeight="1" ht="18.75">
      <c r="D28" s="1678"/>
      <c r="E28" s="1715" t="s">
        <v>634</v>
      </c>
      <c r="F28" s="1690" t="s">
        <v>635</v>
      </c>
      <c r="G28" s="1694" t="s">
        <v>539</v>
      </c>
      <c r="H28" s="1716"/>
      <c r="I28" s="1716"/>
      <c r="J28" s="277"/>
      <c r="K28" s="549"/>
    </row>
    <row customHeight="1" ht="18.75">
      <c r="D29" s="1678"/>
      <c r="E29" s="1715" t="s">
        <v>636</v>
      </c>
      <c r="F29" s="961" t="s">
        <v>637</v>
      </c>
      <c r="G29" s="1694" t="s">
        <v>539</v>
      </c>
      <c r="H29" s="1716"/>
      <c r="I29" s="1716"/>
      <c r="J29" s="277"/>
      <c r="K29" s="549"/>
    </row>
    <row customHeight="1" ht="18.75">
      <c r="D30" s="1678"/>
      <c r="E30" s="1715" t="s">
        <v>638</v>
      </c>
      <c r="F30" s="961" t="s">
        <v>639</v>
      </c>
      <c r="G30" s="1694" t="s">
        <v>539</v>
      </c>
      <c r="H30" s="1716"/>
      <c r="I30" s="1716"/>
      <c r="J30" s="277"/>
      <c r="K30" s="549"/>
    </row>
    <row customHeight="1" ht="18.75">
      <c r="D31" s="1678"/>
      <c r="E31" s="1715" t="s">
        <v>640</v>
      </c>
      <c r="F31" s="961" t="s">
        <v>641</v>
      </c>
      <c r="G31" s="1694" t="s">
        <v>539</v>
      </c>
      <c r="H31" s="1716"/>
      <c r="I31" s="1716"/>
      <c r="J31" s="277"/>
      <c r="K31" s="549"/>
    </row>
    <row s="3293" customFormat="1" customHeight="1" ht="22.5">
      <c r="A32" s="994"/>
      <c r="C32" s="1676"/>
      <c r="D32" s="1678"/>
      <c r="E32" s="1715" t="s">
        <v>642</v>
      </c>
      <c r="F32" s="961" t="s">
        <v>643</v>
      </c>
      <c r="G32" s="1684" t="s">
        <v>539</v>
      </c>
      <c r="H32" s="585">
        <f>SUM(H33:H34)</f>
        <v>0</v>
      </c>
      <c r="I32" s="585">
        <f>SUM(I33:I34)</f>
        <v>0</v>
      </c>
      <c r="J32" s="277" t="s">
        <v>644</v>
      </c>
      <c r="K32" s="549"/>
      <c r="L32" s="1676"/>
      <c r="M32" s="1676"/>
      <c r="R32" s="1676"/>
      <c r="U32" s="550"/>
      <c r="AA32" s="1672"/>
      <c r="AB32" s="1672"/>
      <c r="AC32" s="1672"/>
      <c r="AD32" s="1672"/>
      <c r="AE32" s="1672"/>
    </row>
    <row s="4032" customFormat="1" customHeight="1" ht="0.75">
      <c r="A33" s="1175"/>
      <c r="D33" s="554"/>
      <c r="E33" s="808" t="str">
        <f>E32&amp;".0"</f>
        <v>2.8.0</v>
      </c>
      <c r="F33" s="998"/>
      <c r="G33" s="557"/>
      <c r="H33" s="999"/>
      <c r="I33" s="999"/>
      <c r="J33" s="1000"/>
    </row>
    <row s="3293" customFormat="1" customHeight="1" ht="18.75">
      <c r="A34" s="994"/>
      <c r="C34" s="1676"/>
      <c r="D34" s="1673"/>
      <c r="E34" s="576"/>
      <c r="F34" s="1706" t="s">
        <v>564</v>
      </c>
      <c r="G34" s="578"/>
      <c r="H34" s="579"/>
      <c r="I34" s="579"/>
      <c r="J34" s="289" t="s">
        <v>645</v>
      </c>
      <c r="K34" s="549"/>
      <c r="L34" s="1676"/>
      <c r="M34" s="1676"/>
      <c r="R34" s="1676"/>
      <c r="U34" s="550"/>
      <c r="AA34" s="1672"/>
      <c r="AB34" s="1672"/>
      <c r="AC34" s="1672"/>
      <c r="AD34" s="1672"/>
      <c r="AE34" s="1672"/>
    </row>
    <row customHeight="1" ht="56.25">
      <c r="D35" s="1678"/>
      <c r="E35" s="1715" t="s">
        <v>646</v>
      </c>
      <c r="F35" s="961" t="s">
        <v>647</v>
      </c>
      <c r="G35" s="1694" t="s">
        <v>539</v>
      </c>
      <c r="H35" s="1716"/>
      <c r="I35" s="1716"/>
      <c r="J35" s="277" t="s">
        <v>648</v>
      </c>
      <c r="K35" s="549"/>
    </row>
    <row s="3293" customFormat="1" customHeight="1" ht="22.5">
      <c r="A36" s="996" t="s">
        <v>565</v>
      </c>
      <c r="C36" s="1676"/>
      <c r="D36" s="1678"/>
      <c r="E36" s="1704" t="s">
        <v>89</v>
      </c>
      <c r="F36" s="713" t="s">
        <v>649</v>
      </c>
      <c r="G36" s="1683" t="s">
        <v>539</v>
      </c>
      <c r="H36" s="563"/>
      <c r="I36" s="563"/>
      <c r="J36" s="277" t="s">
        <v>650</v>
      </c>
      <c r="K36" s="549"/>
      <c r="L36" s="1676"/>
      <c r="M36" s="1676"/>
      <c r="R36" s="1676"/>
      <c r="U36" s="550"/>
      <c r="AA36" s="1672"/>
      <c r="AB36" s="1672"/>
      <c r="AC36" s="1672"/>
      <c r="AD36" s="1672"/>
      <c r="AE36" s="1672"/>
    </row>
    <row s="3293" customFormat="1" customHeight="1" ht="22.5">
      <c r="A37" s="996"/>
      <c r="C37" s="1676"/>
      <c r="D37" s="1678"/>
      <c r="E37" s="1704" t="s">
        <v>317</v>
      </c>
      <c r="F37" s="961" t="s">
        <v>651</v>
      </c>
      <c r="G37" s="1694"/>
      <c r="H37" s="563"/>
      <c r="I37" s="563"/>
      <c r="J37" s="277"/>
      <c r="K37" s="549"/>
      <c r="L37" s="1676"/>
      <c r="M37" s="1676"/>
      <c r="R37" s="1676"/>
      <c r="U37" s="550"/>
      <c r="AA37" s="1672"/>
      <c r="AB37" s="1672"/>
      <c r="AC37" s="1672"/>
      <c r="AD37" s="1672"/>
      <c r="AE37" s="1672"/>
    </row>
    <row s="3293" customFormat="1" customHeight="1" ht="18.75">
      <c r="A38" s="994"/>
      <c r="C38" s="1676"/>
      <c r="D38" s="581"/>
      <c r="E38" s="1704" t="s">
        <v>90</v>
      </c>
      <c r="F38" s="713" t="s">
        <v>652</v>
      </c>
      <c r="G38" s="1683" t="s">
        <v>539</v>
      </c>
      <c r="H38" s="563"/>
      <c r="I38" s="563"/>
      <c r="J38" s="277" t="s">
        <v>653</v>
      </c>
      <c r="K38" s="549"/>
      <c r="L38" s="1676"/>
      <c r="M38" s="1676"/>
      <c r="R38" s="1676"/>
      <c r="U38" s="550"/>
      <c r="AA38" s="1672"/>
      <c r="AB38" s="1672"/>
      <c r="AC38" s="1672"/>
      <c r="AD38" s="1672"/>
      <c r="AE38" s="1672"/>
    </row>
    <row s="3293" customFormat="1" customHeight="1" ht="22.5">
      <c r="A39" s="994"/>
      <c r="C39" s="1676"/>
      <c r="D39" s="581"/>
      <c r="E39" s="1704" t="s">
        <v>654</v>
      </c>
      <c r="F39" s="961" t="s">
        <v>655</v>
      </c>
      <c r="G39" s="1694" t="s">
        <v>539</v>
      </c>
      <c r="H39" s="563"/>
      <c r="I39" s="563"/>
      <c r="J39" s="277" t="s">
        <v>656</v>
      </c>
      <c r="K39" s="549"/>
      <c r="L39" s="1676"/>
      <c r="M39" s="1676"/>
      <c r="R39" s="1676"/>
      <c r="U39" s="550"/>
      <c r="AA39" s="1672"/>
      <c r="AB39" s="1672"/>
      <c r="AC39" s="1672"/>
      <c r="AD39" s="1672"/>
      <c r="AE39" s="1672"/>
    </row>
    <row s="3293" customFormat="1" customHeight="1" ht="22.5">
      <c r="A40" s="994"/>
      <c r="C40" s="1676"/>
      <c r="D40" s="1678"/>
      <c r="E40" s="1704" t="s">
        <v>657</v>
      </c>
      <c r="F40" s="1690" t="s">
        <v>658</v>
      </c>
      <c r="G40" s="1683" t="s">
        <v>539</v>
      </c>
      <c r="H40" s="563"/>
      <c r="I40" s="563"/>
      <c r="J40" s="277" t="s">
        <v>659</v>
      </c>
      <c r="K40" s="549"/>
      <c r="L40" s="1676"/>
      <c r="M40" s="1676"/>
      <c r="R40" s="1676"/>
      <c r="U40" s="550"/>
      <c r="AA40" s="1672"/>
      <c r="AB40" s="1672"/>
      <c r="AC40" s="1672"/>
      <c r="AD40" s="1672"/>
      <c r="AE40" s="1672"/>
    </row>
    <row s="3293" customFormat="1" customHeight="1" ht="22.5">
      <c r="A41" s="994"/>
      <c r="C41" s="1676"/>
      <c r="D41" s="1678"/>
      <c r="E41" s="1704" t="s">
        <v>660</v>
      </c>
      <c r="F41" s="1690" t="s">
        <v>661</v>
      </c>
      <c r="G41" s="1683" t="s">
        <v>539</v>
      </c>
      <c r="H41" s="563"/>
      <c r="I41" s="563"/>
      <c r="J41" s="277" t="s">
        <v>662</v>
      </c>
      <c r="K41" s="549"/>
      <c r="L41" s="1676"/>
      <c r="M41" s="1676"/>
      <c r="R41" s="1676"/>
      <c r="U41" s="550"/>
      <c r="AA41" s="1672"/>
      <c r="AB41" s="1672"/>
      <c r="AC41" s="1672"/>
      <c r="AD41" s="1672"/>
      <c r="AE41" s="1672"/>
    </row>
    <row s="3293" customFormat="1" customHeight="1" ht="22.5">
      <c r="A42" s="994"/>
      <c r="C42" s="1676"/>
      <c r="D42" s="1678"/>
      <c r="E42" s="1704" t="s">
        <v>663</v>
      </c>
      <c r="F42" s="1690" t="s">
        <v>664</v>
      </c>
      <c r="G42" s="1683" t="s">
        <v>539</v>
      </c>
      <c r="H42" s="563"/>
      <c r="I42" s="563"/>
      <c r="J42" s="277" t="s">
        <v>665</v>
      </c>
      <c r="K42" s="549"/>
      <c r="L42" s="1676"/>
      <c r="M42" s="1676"/>
      <c r="R42" s="1676"/>
      <c r="U42" s="550"/>
      <c r="AA42" s="1672"/>
      <c r="AB42" s="1672"/>
      <c r="AC42" s="1672"/>
      <c r="AD42" s="1672"/>
      <c r="AE42" s="1672"/>
    </row>
    <row s="3293" customFormat="1" customHeight="1" ht="33.75">
      <c r="A43" s="994"/>
      <c r="C43" s="1676" t="s">
        <v>575</v>
      </c>
      <c r="D43" s="1678"/>
      <c r="E43" s="1704" t="s">
        <v>110</v>
      </c>
      <c r="F43" s="713" t="s">
        <v>666</v>
      </c>
      <c r="G43" s="1686" t="s">
        <v>667</v>
      </c>
      <c r="H43" s="407"/>
      <c r="I43" s="407"/>
      <c r="J43" s="277" t="s">
        <v>668</v>
      </c>
      <c r="K43" s="549"/>
      <c r="L43" s="1676"/>
      <c r="M43" s="1676"/>
      <c r="R43" s="1676"/>
      <c r="U43" s="550"/>
      <c r="AA43" s="1672"/>
      <c r="AB43" s="1672"/>
      <c r="AC43" s="1672"/>
      <c r="AD43" s="1672"/>
      <c r="AE43" s="1672"/>
    </row>
    <row s="3293" customFormat="1" customHeight="1" ht="22.5">
      <c r="A44" s="994"/>
      <c r="C44" s="1676"/>
      <c r="D44" s="1678"/>
      <c r="E44" s="1704" t="s">
        <v>91</v>
      </c>
      <c r="F44" s="713" t="s">
        <v>669</v>
      </c>
      <c r="G44" s="1683" t="s">
        <v>670</v>
      </c>
      <c r="H44" s="551"/>
      <c r="I44" s="551"/>
      <c r="J44" s="277" t="s">
        <v>671</v>
      </c>
      <c r="K44" s="549"/>
      <c r="L44" s="1676"/>
      <c r="M44" s="1676"/>
      <c r="R44" s="1676"/>
      <c r="U44" s="550"/>
      <c r="AA44" s="1672"/>
      <c r="AB44" s="1672"/>
      <c r="AC44" s="1672"/>
      <c r="AD44" s="1672"/>
      <c r="AE44" s="1672"/>
    </row>
    <row s="3293" customFormat="1" customHeight="1" ht="22.5">
      <c r="A45" s="994"/>
      <c r="C45" s="1676"/>
      <c r="D45" s="1678"/>
      <c r="E45" s="1704" t="s">
        <v>92</v>
      </c>
      <c r="F45" s="713" t="s">
        <v>672</v>
      </c>
      <c r="G45" s="1694" t="s">
        <v>673</v>
      </c>
      <c r="H45" s="551"/>
      <c r="I45" s="551"/>
      <c r="J45" s="277" t="s">
        <v>674</v>
      </c>
      <c r="K45" s="549"/>
      <c r="L45" s="1676"/>
      <c r="M45" s="1676"/>
      <c r="R45" s="1676"/>
      <c r="U45" s="550"/>
      <c r="AA45" s="1672"/>
      <c r="AB45" s="1672"/>
      <c r="AC45" s="1672"/>
      <c r="AD45" s="1672"/>
      <c r="AE45" s="1672"/>
    </row>
    <row s="3293" customFormat="1" customHeight="1" ht="18.75">
      <c r="A46" s="994"/>
      <c r="C46" s="1676"/>
      <c r="D46" s="1678"/>
      <c r="E46" s="1704" t="s">
        <v>111</v>
      </c>
      <c r="F46" s="713" t="s">
        <v>675</v>
      </c>
      <c r="G46" s="1683" t="s">
        <v>577</v>
      </c>
      <c r="H46" s="583"/>
      <c r="I46" s="583"/>
      <c r="J46" s="277"/>
      <c r="K46" s="549"/>
      <c r="L46" s="1676"/>
      <c r="M46" s="1676"/>
      <c r="R46" s="1676"/>
      <c r="U46" s="550"/>
      <c r="AA46" s="1672"/>
      <c r="AB46" s="1672"/>
      <c r="AC46" s="1672"/>
      <c r="AD46" s="1672"/>
      <c r="AE46" s="1672"/>
    </row>
    <row customHeight="1" ht="11.25">
      <c r="D47" s="1678"/>
    </row>
    <row customHeight="1" ht="26.25">
      <c r="D48" s="1678"/>
      <c r="E48" s="1273"/>
      <c r="F48" s="2106"/>
      <c r="G48" s="2106"/>
      <c r="H48" s="2106"/>
      <c r="I48" s="2106"/>
      <c r="J48" s="2106"/>
    </row>
    <row s="4068" customFormat="1" customHeight="1" ht="37.5">
      <c r="A49" s="994"/>
      <c r="B49" s="1676"/>
      <c r="C49" s="1676"/>
      <c r="D49" s="347"/>
      <c r="F49" s="2106"/>
      <c r="G49" s="2106"/>
      <c r="H49" s="2106"/>
      <c r="I49" s="2106"/>
      <c r="J49" s="2106"/>
      <c r="K49" s="1168"/>
      <c r="L49" s="1676"/>
      <c r="M49" s="1676"/>
      <c r="N49" s="1168"/>
      <c r="O49" s="1168"/>
      <c r="P49" s="1168"/>
      <c r="Q49" s="1168"/>
      <c r="R49" s="1676"/>
      <c r="S49" s="1168"/>
      <c r="T49" s="1168"/>
      <c r="U49" s="550"/>
      <c r="V49" s="1168"/>
      <c r="W49" s="1168"/>
      <c r="X49" s="1168"/>
      <c r="Y49" s="1168"/>
      <c r="Z49" s="1168"/>
      <c r="AA49" s="1672"/>
      <c r="AB49" s="572"/>
      <c r="AC49" s="572"/>
      <c r="AD49" s="572"/>
      <c r="AE49" s="572"/>
    </row>
    <row s="4068" customFormat="1" customHeight="1" ht="11.25">
      <c r="A50" s="994"/>
      <c r="B50" s="1676"/>
      <c r="C50" s="1676"/>
      <c r="D50" s="347"/>
      <c r="K50" s="1168"/>
      <c r="L50" s="1676"/>
      <c r="M50" s="1676"/>
      <c r="N50" s="1168"/>
      <c r="O50" s="1168"/>
      <c r="P50" s="1168"/>
      <c r="Q50" s="1168"/>
      <c r="R50" s="1676"/>
      <c r="S50" s="1168"/>
      <c r="T50" s="1168"/>
      <c r="U50" s="550"/>
      <c r="V50" s="1168"/>
      <c r="W50" s="1168"/>
      <c r="X50" s="1168"/>
      <c r="Y50" s="1168"/>
      <c r="Z50" s="1168"/>
      <c r="AA50" s="1672"/>
      <c r="AB50" s="572"/>
      <c r="AC50" s="572"/>
      <c r="AD50" s="572"/>
      <c r="AE50" s="572"/>
    </row>
    <row s="4068" customFormat="1" customHeight="1" ht="11.25">
      <c r="A51" s="994"/>
      <c r="B51" s="1676"/>
      <c r="C51" s="1676"/>
      <c r="D51" s="347"/>
      <c r="K51" s="1168"/>
      <c r="L51" s="1676"/>
      <c r="M51" s="1676"/>
      <c r="N51" s="1168"/>
      <c r="O51" s="1168"/>
      <c r="P51" s="1168"/>
      <c r="Q51" s="1168"/>
      <c r="R51" s="1676"/>
      <c r="S51" s="1168"/>
      <c r="T51" s="1168"/>
      <c r="U51" s="550"/>
      <c r="V51" s="1168"/>
      <c r="W51" s="1168"/>
      <c r="X51" s="1168"/>
      <c r="Y51" s="1168"/>
      <c r="Z51" s="1168"/>
      <c r="AA51" s="1672"/>
      <c r="AB51" s="572"/>
      <c r="AC51" s="572"/>
      <c r="AD51" s="572"/>
      <c r="AE51" s="572"/>
    </row>
    <row s="4068" customFormat="1" customHeight="1" ht="11.25">
      <c r="A52" s="994"/>
      <c r="B52" s="1676"/>
      <c r="C52" s="1676"/>
      <c r="D52" s="347"/>
      <c r="H52" s="572"/>
      <c r="I52" s="572"/>
      <c r="K52" s="1168"/>
      <c r="L52" s="1676"/>
      <c r="M52" s="1676"/>
      <c r="N52" s="1168"/>
      <c r="O52" s="1168"/>
      <c r="P52" s="1168"/>
      <c r="Q52" s="1168"/>
      <c r="R52" s="1676"/>
      <c r="S52" s="1168"/>
      <c r="T52" s="1168"/>
      <c r="U52" s="550"/>
      <c r="V52" s="1168"/>
      <c r="W52" s="1168"/>
      <c r="X52" s="1168"/>
      <c r="Y52" s="1168"/>
      <c r="Z52" s="1168"/>
      <c r="AA52" s="1672"/>
      <c r="AB52" s="572"/>
      <c r="AC52" s="572"/>
      <c r="AD52" s="572"/>
      <c r="AE52" s="572"/>
    </row>
    <row s="4068" customFormat="1" customHeight="1" ht="11.25">
      <c r="A53" s="994"/>
      <c r="B53" s="1676"/>
      <c r="C53" s="1676"/>
      <c r="D53" s="347"/>
      <c r="K53" s="1168"/>
      <c r="L53" s="1676"/>
      <c r="M53" s="1676"/>
      <c r="N53" s="1168"/>
      <c r="O53" s="1168"/>
      <c r="P53" s="1168"/>
      <c r="Q53" s="1168"/>
      <c r="R53" s="1676"/>
      <c r="S53" s="1168"/>
      <c r="T53" s="1168"/>
      <c r="U53" s="550"/>
      <c r="V53" s="1168"/>
      <c r="W53" s="1168"/>
      <c r="X53" s="1168"/>
      <c r="Y53" s="1168"/>
      <c r="Z53" s="1168"/>
      <c r="AA53" s="1672"/>
      <c r="AB53" s="572"/>
      <c r="AC53" s="572"/>
      <c r="AD53" s="572"/>
      <c r="AE53" s="572"/>
    </row>
    <row s="4068" customFormat="1" customHeight="1" ht="11.25">
      <c r="A54" s="994"/>
      <c r="B54" s="1676"/>
      <c r="C54" s="1676"/>
      <c r="D54" s="347"/>
      <c r="K54" s="1168"/>
      <c r="L54" s="1676"/>
      <c r="M54" s="1676"/>
      <c r="N54" s="1168"/>
      <c r="O54" s="1168"/>
      <c r="P54" s="1168"/>
      <c r="Q54" s="1168"/>
      <c r="R54" s="1676"/>
      <c r="S54" s="1168"/>
      <c r="T54" s="1168"/>
      <c r="U54" s="550"/>
      <c r="V54" s="1168"/>
      <c r="W54" s="1168"/>
      <c r="X54" s="1168"/>
      <c r="Y54" s="1168"/>
      <c r="Z54" s="1168"/>
      <c r="AA54" s="1672"/>
      <c r="AB54" s="572"/>
      <c r="AC54" s="572"/>
      <c r="AD54" s="572"/>
      <c r="AE54" s="572"/>
    </row>
    <row s="4068" customFormat="1" customHeight="1" ht="11.25">
      <c r="A55" s="994"/>
      <c r="B55" s="1676"/>
      <c r="C55" s="1676"/>
      <c r="D55" s="347"/>
      <c r="K55" s="1168"/>
      <c r="L55" s="1676"/>
      <c r="M55" s="1676"/>
      <c r="N55" s="1168"/>
      <c r="O55" s="1168"/>
      <c r="P55" s="1168"/>
      <c r="Q55" s="1168"/>
      <c r="R55" s="1676"/>
      <c r="S55" s="1168"/>
      <c r="T55" s="1168"/>
      <c r="U55" s="550"/>
      <c r="V55" s="1168"/>
      <c r="W55" s="1168"/>
      <c r="X55" s="1168"/>
      <c r="Y55" s="1168"/>
      <c r="Z55" s="1168"/>
      <c r="AA55" s="1672"/>
      <c r="AB55" s="572"/>
      <c r="AC55" s="572"/>
      <c r="AD55" s="572"/>
      <c r="AE55" s="572"/>
    </row>
    <row s="4068" customFormat="1" customHeight="1" ht="11.25">
      <c r="A56" s="994"/>
      <c r="B56" s="1676"/>
      <c r="C56" s="1676"/>
      <c r="D56" s="347"/>
      <c r="K56" s="1168"/>
      <c r="L56" s="1676"/>
      <c r="M56" s="1676"/>
      <c r="N56" s="1168"/>
      <c r="O56" s="1168"/>
      <c r="P56" s="1168"/>
      <c r="Q56" s="1168"/>
      <c r="R56" s="1676"/>
      <c r="S56" s="1168"/>
      <c r="T56" s="1168"/>
      <c r="U56" s="550"/>
      <c r="V56" s="1168"/>
      <c r="W56" s="1168"/>
      <c r="X56" s="1168"/>
      <c r="Y56" s="1168"/>
      <c r="Z56" s="1168"/>
      <c r="AA56" s="1672"/>
      <c r="AB56" s="572"/>
      <c r="AC56" s="572"/>
      <c r="AD56" s="572"/>
      <c r="AE56" s="572"/>
    </row>
    <row s="4068" customFormat="1" customHeight="1" ht="11.25">
      <c r="A57" s="994"/>
      <c r="B57" s="1676"/>
      <c r="C57" s="1676"/>
      <c r="D57" s="347"/>
      <c r="K57" s="1168"/>
      <c r="L57" s="1676"/>
      <c r="M57" s="1676"/>
      <c r="N57" s="1168"/>
      <c r="O57" s="1168"/>
      <c r="P57" s="1168"/>
      <c r="Q57" s="1168"/>
      <c r="R57" s="1676"/>
      <c r="S57" s="1168"/>
      <c r="T57" s="1168"/>
      <c r="U57" s="550"/>
      <c r="V57" s="1168"/>
      <c r="W57" s="1168"/>
      <c r="X57" s="1168"/>
      <c r="Y57" s="1168"/>
      <c r="Z57" s="1168"/>
      <c r="AA57" s="1672"/>
      <c r="AB57" s="572"/>
      <c r="AC57" s="572"/>
      <c r="AD57" s="572"/>
      <c r="AE57" s="572"/>
    </row>
    <row s="4068" customFormat="1" customHeight="1" ht="11.25">
      <c r="A58" s="994"/>
      <c r="B58" s="1676"/>
      <c r="C58" s="1676"/>
      <c r="D58" s="347"/>
      <c r="K58" s="1168"/>
      <c r="L58" s="1676"/>
      <c r="M58" s="1676"/>
      <c r="N58" s="1168"/>
      <c r="O58" s="1168"/>
      <c r="P58" s="1168"/>
      <c r="Q58" s="1168"/>
      <c r="R58" s="1676"/>
      <c r="S58" s="1168"/>
      <c r="T58" s="1168"/>
      <c r="U58" s="550"/>
      <c r="V58" s="1168"/>
      <c r="W58" s="1168"/>
      <c r="X58" s="1168"/>
      <c r="Y58" s="1168"/>
      <c r="Z58" s="1168"/>
      <c r="AA58" s="1672"/>
      <c r="AB58" s="572"/>
      <c r="AC58" s="572"/>
      <c r="AD58" s="572"/>
      <c r="AE58" s="572"/>
    </row>
    <row s="4068" customFormat="1" customHeight="1" ht="11.25">
      <c r="A59" s="994"/>
      <c r="B59" s="1676"/>
      <c r="C59" s="1676"/>
      <c r="D59" s="347"/>
      <c r="K59" s="1168"/>
      <c r="L59" s="1676"/>
      <c r="M59" s="1676"/>
      <c r="N59" s="1168"/>
      <c r="O59" s="1168"/>
      <c r="P59" s="1168"/>
      <c r="Q59" s="1168"/>
      <c r="R59" s="1676"/>
      <c r="S59" s="1168"/>
      <c r="T59" s="1168"/>
      <c r="U59" s="550"/>
      <c r="V59" s="1168"/>
      <c r="W59" s="1168"/>
      <c r="X59" s="1168"/>
      <c r="Y59" s="1168"/>
      <c r="Z59" s="1168"/>
      <c r="AA59" s="1672"/>
      <c r="AB59" s="572"/>
      <c r="AC59" s="572"/>
      <c r="AD59" s="572"/>
      <c r="AE59" s="572"/>
    </row>
    <row s="4068" customFormat="1" customHeight="1" ht="11.25">
      <c r="A60" s="994"/>
      <c r="B60" s="1676"/>
      <c r="C60" s="1676"/>
      <c r="D60" s="347"/>
      <c r="K60" s="1168"/>
      <c r="L60" s="1676"/>
      <c r="M60" s="1676"/>
      <c r="N60" s="1168"/>
      <c r="O60" s="1168"/>
      <c r="P60" s="1168"/>
      <c r="Q60" s="1168"/>
      <c r="R60" s="1676"/>
      <c r="S60" s="1168"/>
      <c r="T60" s="1168"/>
      <c r="U60" s="550"/>
      <c r="V60" s="1168"/>
      <c r="W60" s="1168"/>
      <c r="X60" s="1168"/>
      <c r="Y60" s="1168"/>
      <c r="Z60" s="1168"/>
      <c r="AA60" s="1672"/>
      <c r="AB60" s="572"/>
      <c r="AC60" s="572"/>
      <c r="AD60" s="572"/>
      <c r="AE60" s="572"/>
    </row>
    <row s="4068" customFormat="1" customHeight="1" ht="11.25">
      <c r="A61" s="994"/>
      <c r="B61" s="1676"/>
      <c r="C61" s="1676"/>
      <c r="D61" s="347"/>
      <c r="K61" s="1168"/>
      <c r="L61" s="1676"/>
      <c r="M61" s="1676"/>
      <c r="N61" s="1168"/>
      <c r="O61" s="1168"/>
      <c r="P61" s="1168"/>
      <c r="Q61" s="1168"/>
      <c r="R61" s="1676"/>
      <c r="S61" s="1168"/>
      <c r="T61" s="1168"/>
      <c r="U61" s="550"/>
      <c r="V61" s="1168"/>
      <c r="W61" s="1168"/>
      <c r="X61" s="1168"/>
      <c r="Y61" s="1168"/>
      <c r="Z61" s="1168"/>
      <c r="AA61" s="1672"/>
      <c r="AB61" s="572"/>
      <c r="AC61" s="572"/>
      <c r="AD61" s="572"/>
      <c r="AE61" s="572"/>
    </row>
    <row s="4068" customFormat="1" customHeight="1" ht="11.25">
      <c r="A62" s="994"/>
      <c r="B62" s="1676"/>
      <c r="C62" s="1676"/>
      <c r="D62" s="347"/>
      <c r="K62" s="1168"/>
      <c r="L62" s="1676"/>
      <c r="M62" s="1676"/>
      <c r="N62" s="1168"/>
      <c r="O62" s="1168"/>
      <c r="P62" s="1168"/>
      <c r="Q62" s="1168"/>
      <c r="R62" s="1676"/>
      <c r="S62" s="1168"/>
      <c r="T62" s="1168"/>
      <c r="U62" s="550"/>
      <c r="V62" s="1168"/>
      <c r="W62" s="1168"/>
      <c r="X62" s="1168"/>
      <c r="Y62" s="1168"/>
      <c r="Z62" s="1168"/>
      <c r="AA62" s="1672"/>
      <c r="AB62" s="572"/>
      <c r="AC62" s="572"/>
      <c r="AD62" s="572"/>
      <c r="AE62" s="572"/>
    </row>
    <row s="4068" customFormat="1" customHeight="1" ht="11.25">
      <c r="A63" s="994"/>
      <c r="B63" s="1676"/>
      <c r="C63" s="1676"/>
      <c r="D63" s="347"/>
      <c r="K63" s="1168"/>
      <c r="L63" s="1676"/>
      <c r="M63" s="1676"/>
      <c r="N63" s="1168"/>
      <c r="O63" s="1168"/>
      <c r="P63" s="1168"/>
      <c r="Q63" s="1168"/>
      <c r="R63" s="1676"/>
      <c r="S63" s="1168"/>
      <c r="T63" s="1168"/>
      <c r="U63" s="550"/>
      <c r="V63" s="1168"/>
      <c r="W63" s="1168"/>
      <c r="X63" s="1168"/>
      <c r="Y63" s="1168"/>
      <c r="Z63" s="1168"/>
      <c r="AA63" s="1672"/>
      <c r="AB63" s="572"/>
      <c r="AC63" s="572"/>
      <c r="AD63" s="572"/>
      <c r="AE63" s="572"/>
    </row>
    <row s="4068" customFormat="1" customHeight="1" ht="11.25">
      <c r="A64" s="994"/>
      <c r="B64" s="1676"/>
      <c r="C64" s="1676"/>
      <c r="D64" s="347"/>
      <c r="K64" s="1168"/>
      <c r="L64" s="1676"/>
      <c r="M64" s="1676"/>
      <c r="N64" s="1168"/>
      <c r="O64" s="1168"/>
      <c r="P64" s="1168"/>
      <c r="Q64" s="1168"/>
      <c r="R64" s="1676"/>
      <c r="S64" s="1168"/>
      <c r="T64" s="1168"/>
      <c r="U64" s="550"/>
      <c r="V64" s="1168"/>
      <c r="W64" s="1168"/>
      <c r="X64" s="1168"/>
      <c r="Y64" s="1168"/>
      <c r="Z64" s="1168"/>
      <c r="AA64" s="1672"/>
      <c r="AB64" s="572"/>
      <c r="AC64" s="572"/>
      <c r="AD64" s="572"/>
      <c r="AE64" s="572"/>
    </row>
    <row s="4068" customFormat="1" customHeight="1" ht="11.25">
      <c r="A65" s="994"/>
      <c r="B65" s="1676"/>
      <c r="C65" s="1676"/>
      <c r="D65" s="347"/>
      <c r="K65" s="1168"/>
      <c r="L65" s="1676"/>
      <c r="M65" s="1676"/>
      <c r="N65" s="1168"/>
      <c r="O65" s="1168"/>
      <c r="P65" s="1168"/>
      <c r="Q65" s="1168"/>
      <c r="R65" s="1676"/>
      <c r="S65" s="1168"/>
      <c r="T65" s="1168"/>
      <c r="U65" s="550"/>
      <c r="V65" s="1168"/>
      <c r="W65" s="1168"/>
      <c r="X65" s="1168"/>
      <c r="Y65" s="1168"/>
      <c r="Z65" s="1168"/>
      <c r="AA65" s="1672"/>
      <c r="AB65" s="572"/>
      <c r="AC65" s="572"/>
      <c r="AD65" s="572"/>
      <c r="AE65" s="572"/>
    </row>
    <row s="4068" customFormat="1" customHeight="1" ht="11.25">
      <c r="A66" s="994"/>
      <c r="B66" s="1676"/>
      <c r="C66" s="1676"/>
      <c r="D66" s="347"/>
      <c r="K66" s="1168"/>
      <c r="L66" s="1676"/>
      <c r="M66" s="1676"/>
      <c r="N66" s="1168"/>
      <c r="O66" s="1168"/>
      <c r="P66" s="1168"/>
      <c r="Q66" s="1168"/>
      <c r="R66" s="1676"/>
      <c r="S66" s="1168"/>
      <c r="T66" s="1168"/>
      <c r="U66" s="550"/>
      <c r="V66" s="1168"/>
      <c r="W66" s="1168"/>
      <c r="X66" s="1168"/>
      <c r="Y66" s="1168"/>
      <c r="Z66" s="1168"/>
      <c r="AA66" s="1672"/>
      <c r="AB66" s="572"/>
      <c r="AC66" s="572"/>
      <c r="AD66" s="572"/>
      <c r="AE66" s="572"/>
    </row>
    <row s="4068" customFormat="1" customHeight="1" ht="11.25">
      <c r="A67" s="994"/>
      <c r="B67" s="1676"/>
      <c r="C67" s="1676"/>
      <c r="D67" s="347"/>
      <c r="K67" s="1168"/>
      <c r="L67" s="1676"/>
      <c r="M67" s="1676"/>
      <c r="N67" s="1168"/>
      <c r="O67" s="1168"/>
      <c r="P67" s="1168"/>
      <c r="Q67" s="1168"/>
      <c r="R67" s="1676"/>
      <c r="S67" s="1168"/>
      <c r="T67" s="1168"/>
      <c r="U67" s="550"/>
      <c r="V67" s="1168"/>
      <c r="W67" s="1168"/>
      <c r="X67" s="1168"/>
      <c r="Y67" s="1168"/>
      <c r="Z67" s="1168"/>
      <c r="AA67" s="1672"/>
      <c r="AB67" s="572"/>
      <c r="AC67" s="572"/>
      <c r="AD67" s="572"/>
      <c r="AE67" s="572"/>
    </row>
    <row s="4068" customFormat="1" customHeight="1" ht="11.25">
      <c r="A68" s="994"/>
      <c r="B68" s="1676"/>
      <c r="C68" s="1676"/>
      <c r="D68" s="347"/>
      <c r="K68" s="1168"/>
      <c r="L68" s="1676"/>
      <c r="M68" s="1676"/>
      <c r="N68" s="1168"/>
      <c r="O68" s="1168"/>
      <c r="P68" s="1168"/>
      <c r="Q68" s="1168"/>
      <c r="R68" s="1676"/>
      <c r="S68" s="1168"/>
      <c r="T68" s="1168"/>
      <c r="U68" s="550"/>
      <c r="V68" s="1168"/>
      <c r="W68" s="1168"/>
      <c r="X68" s="1168"/>
      <c r="Y68" s="1168"/>
      <c r="Z68" s="1168"/>
      <c r="AA68" s="1672"/>
      <c r="AB68" s="572"/>
      <c r="AC68" s="572"/>
      <c r="AD68" s="572"/>
      <c r="AE68" s="572"/>
    </row>
    <row s="4068" customFormat="1" customHeight="1" ht="11.25">
      <c r="A69" s="994"/>
      <c r="B69" s="1676"/>
      <c r="C69" s="1676"/>
      <c r="D69" s="347"/>
      <c r="K69" s="1168"/>
      <c r="L69" s="1676"/>
      <c r="M69" s="1676"/>
      <c r="N69" s="1168"/>
      <c r="O69" s="1168"/>
      <c r="P69" s="1168"/>
      <c r="Q69" s="1168"/>
      <c r="R69" s="1676"/>
      <c r="S69" s="1168"/>
      <c r="T69" s="1168"/>
      <c r="U69" s="550"/>
      <c r="V69" s="1168"/>
      <c r="W69" s="1168"/>
      <c r="X69" s="1168"/>
      <c r="Y69" s="1168"/>
      <c r="Z69" s="1168"/>
      <c r="AA69" s="1672"/>
      <c r="AB69" s="572"/>
      <c r="AC69" s="572"/>
      <c r="AD69" s="572"/>
      <c r="AE69" s="572"/>
    </row>
    <row s="4068" customFormat="1" customHeight="1" ht="11.25">
      <c r="A70" s="994"/>
      <c r="B70" s="1676"/>
      <c r="C70" s="1676"/>
      <c r="D70" s="347"/>
      <c r="K70" s="1168"/>
      <c r="L70" s="1676"/>
      <c r="M70" s="1676"/>
      <c r="N70" s="1168"/>
      <c r="O70" s="1168"/>
      <c r="P70" s="1168"/>
      <c r="Q70" s="1168"/>
      <c r="R70" s="1676"/>
      <c r="S70" s="1168"/>
      <c r="T70" s="1168"/>
      <c r="U70" s="550"/>
      <c r="V70" s="1168"/>
      <c r="W70" s="1168"/>
      <c r="X70" s="1168"/>
      <c r="Y70" s="1168"/>
      <c r="Z70" s="1168"/>
      <c r="AA70" s="1672"/>
      <c r="AB70" s="572"/>
      <c r="AC70" s="572"/>
      <c r="AD70" s="572"/>
      <c r="AE70" s="572"/>
    </row>
    <row s="4068" customFormat="1" customHeight="1" ht="11.25">
      <c r="A71" s="994"/>
      <c r="B71" s="1676"/>
      <c r="C71" s="1676"/>
      <c r="D71" s="347"/>
      <c r="K71" s="1168"/>
      <c r="L71" s="1676"/>
      <c r="M71" s="1676"/>
      <c r="N71" s="1168"/>
      <c r="O71" s="1168"/>
      <c r="P71" s="1168"/>
      <c r="Q71" s="1168"/>
      <c r="R71" s="1676"/>
      <c r="S71" s="1168"/>
      <c r="T71" s="1168"/>
      <c r="U71" s="550"/>
      <c r="V71" s="1168"/>
      <c r="W71" s="1168"/>
      <c r="X71" s="1168"/>
      <c r="Y71" s="1168"/>
      <c r="Z71" s="1168"/>
      <c r="AA71" s="1672"/>
      <c r="AB71" s="572"/>
      <c r="AC71" s="572"/>
      <c r="AD71" s="572"/>
      <c r="AE71" s="572"/>
    </row>
    <row s="4068" customFormat="1" customHeight="1" ht="11.25">
      <c r="A72" s="994"/>
      <c r="B72" s="1676"/>
      <c r="C72" s="1676"/>
      <c r="D72" s="347"/>
      <c r="K72" s="1168"/>
      <c r="L72" s="1676"/>
      <c r="M72" s="1676"/>
      <c r="N72" s="1168"/>
      <c r="O72" s="1168"/>
      <c r="P72" s="1168"/>
      <c r="Q72" s="1168"/>
      <c r="R72" s="1676"/>
      <c r="S72" s="1168"/>
      <c r="T72" s="1168"/>
      <c r="U72" s="550"/>
      <c r="V72" s="1168"/>
      <c r="W72" s="1168"/>
      <c r="X72" s="1168"/>
      <c r="Y72" s="1168"/>
      <c r="Z72" s="1168"/>
      <c r="AA72" s="1672"/>
      <c r="AB72" s="572"/>
      <c r="AC72" s="572"/>
      <c r="AD72" s="572"/>
      <c r="AE72" s="572"/>
    </row>
    <row s="4068" customFormat="1" customHeight="1" ht="11.25">
      <c r="A73" s="994"/>
      <c r="B73" s="1676"/>
      <c r="C73" s="1676"/>
      <c r="D73" s="347"/>
      <c r="K73" s="1168"/>
      <c r="L73" s="1676"/>
      <c r="M73" s="1676"/>
      <c r="N73" s="1168"/>
      <c r="O73" s="1168"/>
      <c r="P73" s="1168"/>
      <c r="Q73" s="1168"/>
      <c r="R73" s="1676"/>
      <c r="S73" s="1168"/>
      <c r="T73" s="1168"/>
      <c r="U73" s="550"/>
      <c r="V73" s="1168"/>
      <c r="W73" s="1168"/>
      <c r="X73" s="1168"/>
      <c r="Y73" s="1168"/>
      <c r="Z73" s="1168"/>
      <c r="AA73" s="1672"/>
      <c r="AB73" s="572"/>
      <c r="AC73" s="572"/>
      <c r="AD73" s="572"/>
      <c r="AE73" s="572"/>
    </row>
    <row s="4068" customFormat="1" customHeight="1" ht="11.25">
      <c r="A74" s="994"/>
      <c r="B74" s="1676"/>
      <c r="C74" s="1676"/>
      <c r="D74" s="347"/>
      <c r="K74" s="1168"/>
      <c r="L74" s="1676"/>
      <c r="M74" s="1676"/>
      <c r="N74" s="1168"/>
      <c r="O74" s="1168"/>
      <c r="P74" s="1168"/>
      <c r="Q74" s="1168"/>
      <c r="R74" s="1676"/>
      <c r="S74" s="1168"/>
      <c r="T74" s="1168"/>
      <c r="U74" s="550"/>
      <c r="V74" s="1168"/>
      <c r="W74" s="1168"/>
      <c r="X74" s="1168"/>
      <c r="Y74" s="1168"/>
      <c r="Z74" s="1168"/>
      <c r="AA74" s="1672"/>
      <c r="AB74" s="572"/>
      <c r="AC74" s="572"/>
      <c r="AD74" s="572"/>
      <c r="AE74" s="572"/>
    </row>
    <row s="4068" customFormat="1" customHeight="1" ht="11.25">
      <c r="A75" s="994"/>
      <c r="B75" s="1676"/>
      <c r="C75" s="1676"/>
      <c r="D75" s="347"/>
      <c r="K75" s="1168"/>
      <c r="L75" s="1676"/>
      <c r="M75" s="1676"/>
      <c r="N75" s="1168"/>
      <c r="O75" s="1168"/>
      <c r="P75" s="1168"/>
      <c r="Q75" s="1168"/>
      <c r="R75" s="1676"/>
      <c r="S75" s="1168"/>
      <c r="T75" s="1168"/>
      <c r="U75" s="550"/>
      <c r="V75" s="1168"/>
      <c r="W75" s="1168"/>
      <c r="X75" s="1168"/>
      <c r="Y75" s="1168"/>
      <c r="Z75" s="1168"/>
      <c r="AA75" s="1672"/>
      <c r="AB75" s="572"/>
      <c r="AC75" s="572"/>
      <c r="AD75" s="572"/>
      <c r="AE75" s="572"/>
    </row>
    <row s="4068" customFormat="1" customHeight="1" ht="11.25">
      <c r="A76" s="994"/>
      <c r="B76" s="1676"/>
      <c r="C76" s="1676"/>
      <c r="D76" s="347"/>
      <c r="K76" s="1168"/>
      <c r="L76" s="1676"/>
      <c r="M76" s="1676"/>
      <c r="N76" s="1168"/>
      <c r="O76" s="1168"/>
      <c r="P76" s="1168"/>
      <c r="Q76" s="1168"/>
      <c r="R76" s="1676"/>
      <c r="S76" s="1168"/>
      <c r="T76" s="1168"/>
      <c r="U76" s="550"/>
      <c r="V76" s="1168"/>
      <c r="W76" s="1168"/>
      <c r="X76" s="1168"/>
      <c r="Y76" s="1168"/>
      <c r="Z76" s="1168"/>
      <c r="AA76" s="1672"/>
      <c r="AB76" s="572"/>
      <c r="AC76" s="572"/>
      <c r="AD76" s="572"/>
      <c r="AE76" s="572"/>
    </row>
    <row s="4068" customFormat="1" customHeight="1" ht="11.25">
      <c r="A77" s="994"/>
      <c r="B77" s="1676"/>
      <c r="C77" s="1676"/>
      <c r="D77" s="347"/>
      <c r="K77" s="1168"/>
      <c r="L77" s="1676"/>
      <c r="M77" s="1676"/>
      <c r="N77" s="1168"/>
      <c r="O77" s="1168"/>
      <c r="P77" s="1168"/>
      <c r="Q77" s="1168"/>
      <c r="R77" s="1676"/>
      <c r="S77" s="1168"/>
      <c r="T77" s="1168"/>
      <c r="U77" s="550"/>
      <c r="V77" s="1168"/>
      <c r="W77" s="1168"/>
      <c r="X77" s="1168"/>
      <c r="Y77" s="1168"/>
      <c r="Z77" s="1168"/>
      <c r="AA77" s="1672"/>
      <c r="AB77" s="572"/>
      <c r="AC77" s="572"/>
      <c r="AD77" s="572"/>
      <c r="AE77" s="572"/>
    </row>
    <row s="4068" customFormat="1" customHeight="1" ht="11.25">
      <c r="A78" s="994"/>
      <c r="B78" s="1676"/>
      <c r="C78" s="1676"/>
      <c r="D78" s="347"/>
      <c r="K78" s="1168"/>
      <c r="L78" s="1676"/>
      <c r="M78" s="1676"/>
      <c r="N78" s="1168"/>
      <c r="O78" s="1168"/>
      <c r="P78" s="1168"/>
      <c r="Q78" s="1168"/>
      <c r="R78" s="1676"/>
      <c r="S78" s="1168"/>
      <c r="T78" s="1168"/>
      <c r="U78" s="550"/>
      <c r="V78" s="1168"/>
      <c r="W78" s="1168"/>
      <c r="X78" s="1168"/>
      <c r="Y78" s="1168"/>
      <c r="Z78" s="1168"/>
      <c r="AA78" s="1672"/>
      <c r="AB78" s="572"/>
      <c r="AC78" s="572"/>
      <c r="AD78" s="572"/>
      <c r="AE78" s="572"/>
    </row>
    <row s="4068" customFormat="1" customHeight="1" ht="11.25">
      <c r="A79" s="994"/>
      <c r="B79" s="1676"/>
      <c r="C79" s="1676"/>
      <c r="D79" s="347"/>
      <c r="K79" s="1168"/>
      <c r="L79" s="1676"/>
      <c r="M79" s="1676"/>
      <c r="N79" s="1168"/>
      <c r="O79" s="1168"/>
      <c r="P79" s="1168"/>
      <c r="Q79" s="1168"/>
      <c r="R79" s="1676"/>
      <c r="S79" s="1168"/>
      <c r="T79" s="1168"/>
      <c r="U79" s="550"/>
      <c r="V79" s="1168"/>
      <c r="W79" s="1168"/>
      <c r="X79" s="1168"/>
      <c r="Y79" s="1168"/>
      <c r="Z79" s="1168"/>
      <c r="AA79" s="1672"/>
      <c r="AB79" s="572"/>
      <c r="AC79" s="572"/>
      <c r="AD79" s="572"/>
      <c r="AE79" s="572"/>
    </row>
    <row s="4068" customFormat="1" customHeight="1" ht="11.25">
      <c r="A80" s="994"/>
      <c r="B80" s="1676"/>
      <c r="C80" s="1676"/>
      <c r="D80" s="347"/>
      <c r="K80" s="1168"/>
      <c r="L80" s="1676"/>
      <c r="M80" s="1676"/>
      <c r="N80" s="1168"/>
      <c r="O80" s="1168"/>
      <c r="P80" s="1168"/>
      <c r="Q80" s="1168"/>
      <c r="R80" s="1676"/>
      <c r="S80" s="1168"/>
      <c r="T80" s="1168"/>
      <c r="U80" s="550"/>
      <c r="V80" s="1168"/>
      <c r="W80" s="1168"/>
      <c r="X80" s="1168"/>
      <c r="Y80" s="1168"/>
      <c r="Z80" s="1168"/>
      <c r="AA80" s="1672"/>
      <c r="AB80" s="572"/>
      <c r="AC80" s="572"/>
      <c r="AD80" s="572"/>
      <c r="AE80" s="572"/>
    </row>
    <row s="4068" customFormat="1" customHeight="1" ht="11.25">
      <c r="A81" s="994"/>
      <c r="B81" s="1676"/>
      <c r="C81" s="1676"/>
      <c r="D81" s="347"/>
      <c r="K81" s="1168"/>
      <c r="L81" s="1676"/>
      <c r="M81" s="1676"/>
      <c r="N81" s="1168"/>
      <c r="O81" s="1168"/>
      <c r="P81" s="1168"/>
      <c r="Q81" s="1168"/>
      <c r="R81" s="1676"/>
      <c r="S81" s="1168"/>
      <c r="T81" s="1168"/>
      <c r="U81" s="550"/>
      <c r="V81" s="1168"/>
      <c r="W81" s="1168"/>
      <c r="X81" s="1168"/>
      <c r="Y81" s="1168"/>
      <c r="Z81" s="1168"/>
      <c r="AA81" s="1672"/>
      <c r="AB81" s="572"/>
      <c r="AC81" s="572"/>
      <c r="AD81" s="572"/>
      <c r="AE81" s="572"/>
    </row>
    <row s="4068" customFormat="1" customHeight="1" ht="11.25">
      <c r="A82" s="994"/>
      <c r="B82" s="1676"/>
      <c r="C82" s="1676"/>
      <c r="D82" s="347"/>
      <c r="K82" s="1168"/>
      <c r="L82" s="1676"/>
      <c r="M82" s="1676"/>
      <c r="N82" s="1168"/>
      <c r="O82" s="1168"/>
      <c r="P82" s="1168"/>
      <c r="Q82" s="1168"/>
      <c r="R82" s="1676"/>
      <c r="S82" s="1168"/>
      <c r="T82" s="1168"/>
      <c r="U82" s="550"/>
      <c r="V82" s="1168"/>
      <c r="W82" s="1168"/>
      <c r="X82" s="1168"/>
      <c r="Y82" s="1168"/>
      <c r="Z82" s="1168"/>
      <c r="AA82" s="1672"/>
      <c r="AB82" s="572"/>
      <c r="AC82" s="572"/>
      <c r="AD82" s="572"/>
      <c r="AE82" s="572"/>
    </row>
    <row s="4068" customFormat="1" customHeight="1" ht="11.25">
      <c r="A83" s="994"/>
      <c r="B83" s="1676"/>
      <c r="C83" s="1676"/>
      <c r="D83" s="347"/>
      <c r="K83" s="1168"/>
      <c r="L83" s="1676"/>
      <c r="M83" s="1676"/>
      <c r="N83" s="1168"/>
      <c r="O83" s="1168"/>
      <c r="P83" s="1168"/>
      <c r="Q83" s="1168"/>
      <c r="R83" s="1676"/>
      <c r="S83" s="1168"/>
      <c r="T83" s="1168"/>
      <c r="U83" s="550"/>
      <c r="V83" s="1168"/>
      <c r="W83" s="1168"/>
      <c r="X83" s="1168"/>
      <c r="Y83" s="1168"/>
      <c r="Z83" s="1168"/>
      <c r="AA83" s="1672"/>
      <c r="AB83" s="572"/>
      <c r="AC83" s="572"/>
      <c r="AD83" s="572"/>
      <c r="AE83" s="572"/>
    </row>
    <row s="4068" customFormat="1" customHeight="1" ht="11.25">
      <c r="A84" s="994"/>
      <c r="B84" s="1676"/>
      <c r="C84" s="1676"/>
      <c r="D84" s="347"/>
      <c r="K84" s="1168"/>
      <c r="L84" s="1676"/>
      <c r="M84" s="1676"/>
      <c r="N84" s="1168"/>
      <c r="O84" s="1168"/>
      <c r="P84" s="1168"/>
      <c r="Q84" s="1168"/>
      <c r="R84" s="1676"/>
      <c r="S84" s="1168"/>
      <c r="T84" s="1168"/>
      <c r="U84" s="550"/>
      <c r="V84" s="1168"/>
      <c r="W84" s="1168"/>
      <c r="X84" s="1168"/>
      <c r="Y84" s="1168"/>
      <c r="Z84" s="1168"/>
      <c r="AA84" s="1672"/>
      <c r="AB84" s="572"/>
      <c r="AC84" s="572"/>
      <c r="AD84" s="572"/>
      <c r="AE84" s="572"/>
    </row>
    <row s="4068" customFormat="1" customHeight="1" ht="11.25">
      <c r="A85" s="994"/>
      <c r="B85" s="1676"/>
      <c r="C85" s="1676"/>
      <c r="D85" s="347"/>
      <c r="K85" s="1168"/>
      <c r="L85" s="1676"/>
      <c r="M85" s="1676"/>
      <c r="N85" s="1168"/>
      <c r="O85" s="1168"/>
      <c r="P85" s="1168"/>
      <c r="Q85" s="1168"/>
      <c r="R85" s="1676"/>
      <c r="S85" s="1168"/>
      <c r="T85" s="1168"/>
      <c r="U85" s="550"/>
      <c r="V85" s="1168"/>
      <c r="W85" s="1168"/>
      <c r="X85" s="1168"/>
      <c r="Y85" s="1168"/>
      <c r="Z85" s="1168"/>
      <c r="AA85" s="1672"/>
      <c r="AB85" s="572"/>
      <c r="AC85" s="572"/>
      <c r="AD85" s="572"/>
      <c r="AE85" s="572"/>
    </row>
    <row s="4068" customFormat="1" customHeight="1" ht="11.25">
      <c r="A86" s="994"/>
      <c r="B86" s="1676"/>
      <c r="C86" s="1676"/>
      <c r="D86" s="347"/>
      <c r="K86" s="1168"/>
      <c r="L86" s="1676"/>
      <c r="M86" s="1676"/>
      <c r="N86" s="1168"/>
      <c r="O86" s="1168"/>
      <c r="P86" s="1168"/>
      <c r="Q86" s="1168"/>
      <c r="R86" s="1676"/>
      <c r="S86" s="1168"/>
      <c r="T86" s="1168"/>
      <c r="U86" s="550"/>
      <c r="V86" s="1168"/>
      <c r="W86" s="1168"/>
      <c r="X86" s="1168"/>
      <c r="Y86" s="1168"/>
      <c r="Z86" s="1168"/>
      <c r="AA86" s="1672"/>
      <c r="AB86" s="572"/>
      <c r="AC86" s="572"/>
      <c r="AD86" s="572"/>
      <c r="AE86" s="572"/>
    </row>
    <row s="4068" customFormat="1" customHeight="1" ht="11.25">
      <c r="A87" s="994"/>
      <c r="B87" s="1676"/>
      <c r="C87" s="1676"/>
      <c r="D87" s="347"/>
      <c r="K87" s="1168"/>
      <c r="L87" s="1676"/>
      <c r="M87" s="1676"/>
      <c r="N87" s="1168"/>
      <c r="O87" s="1168"/>
      <c r="P87" s="1168"/>
      <c r="Q87" s="1168"/>
      <c r="R87" s="1676"/>
      <c r="S87" s="1168"/>
      <c r="T87" s="1168"/>
      <c r="U87" s="550"/>
      <c r="V87" s="1168"/>
      <c r="W87" s="1168"/>
      <c r="X87" s="1168"/>
      <c r="Y87" s="1168"/>
      <c r="Z87" s="1168"/>
      <c r="AA87" s="1672"/>
      <c r="AB87" s="572"/>
      <c r="AC87" s="572"/>
      <c r="AD87" s="572"/>
      <c r="AE87" s="572"/>
    </row>
    <row s="4068" customFormat="1" customHeight="1" ht="11.25">
      <c r="A88" s="994"/>
      <c r="B88" s="1676"/>
      <c r="C88" s="1676"/>
      <c r="D88" s="347"/>
      <c r="K88" s="1168"/>
      <c r="L88" s="1676"/>
      <c r="M88" s="1676"/>
      <c r="N88" s="1168"/>
      <c r="O88" s="1168"/>
      <c r="P88" s="1168"/>
      <c r="Q88" s="1168"/>
      <c r="R88" s="1676"/>
      <c r="S88" s="1168"/>
      <c r="T88" s="1168"/>
      <c r="U88" s="550"/>
      <c r="V88" s="1168"/>
      <c r="W88" s="1168"/>
      <c r="X88" s="1168"/>
      <c r="Y88" s="1168"/>
      <c r="Z88" s="1168"/>
      <c r="AA88" s="1672"/>
      <c r="AB88" s="572"/>
      <c r="AC88" s="572"/>
      <c r="AD88" s="572"/>
      <c r="AE88" s="572"/>
    </row>
    <row s="4068" customFormat="1" customHeight="1" ht="11.25">
      <c r="A89" s="994"/>
      <c r="B89" s="1676"/>
      <c r="C89" s="1676"/>
      <c r="D89" s="347"/>
      <c r="K89" s="1168"/>
      <c r="L89" s="1676"/>
      <c r="M89" s="1676"/>
      <c r="N89" s="1168"/>
      <c r="O89" s="1168"/>
      <c r="P89" s="1168"/>
      <c r="Q89" s="1168"/>
      <c r="R89" s="1676"/>
      <c r="S89" s="1168"/>
      <c r="T89" s="1168"/>
      <c r="U89" s="550"/>
      <c r="V89" s="1168"/>
      <c r="W89" s="1168"/>
      <c r="X89" s="1168"/>
      <c r="Y89" s="1168"/>
      <c r="Z89" s="1168"/>
      <c r="AA89" s="1672"/>
      <c r="AB89" s="572"/>
      <c r="AC89" s="572"/>
      <c r="AD89" s="572"/>
      <c r="AE89" s="572"/>
    </row>
    <row s="4068" customFormat="1" customHeight="1" ht="11.25">
      <c r="A90" s="994"/>
      <c r="B90" s="1676"/>
      <c r="C90" s="1676"/>
      <c r="D90" s="347"/>
      <c r="K90" s="1168"/>
      <c r="L90" s="1676"/>
      <c r="M90" s="1676"/>
      <c r="N90" s="1168"/>
      <c r="O90" s="1168"/>
      <c r="P90" s="1168"/>
      <c r="Q90" s="1168"/>
      <c r="R90" s="1676"/>
      <c r="S90" s="1168"/>
      <c r="T90" s="1168"/>
      <c r="U90" s="550"/>
      <c r="V90" s="1168"/>
      <c r="W90" s="1168"/>
      <c r="X90" s="1168"/>
      <c r="Y90" s="1168"/>
      <c r="Z90" s="1168"/>
      <c r="AA90" s="1672"/>
      <c r="AB90" s="572"/>
      <c r="AC90" s="572"/>
      <c r="AD90" s="572"/>
      <c r="AE90" s="572"/>
    </row>
    <row s="4068" customFormat="1" customHeight="1" ht="11.25">
      <c r="A91" s="994"/>
      <c r="B91" s="1676"/>
      <c r="C91" s="1676"/>
      <c r="D91" s="347"/>
      <c r="K91" s="1168"/>
      <c r="L91" s="1676"/>
      <c r="M91" s="1676"/>
      <c r="N91" s="1168"/>
      <c r="O91" s="1168"/>
      <c r="P91" s="1168"/>
      <c r="Q91" s="1168"/>
      <c r="R91" s="1676"/>
      <c r="S91" s="1168"/>
      <c r="T91" s="1168"/>
      <c r="U91" s="550"/>
      <c r="V91" s="1168"/>
      <c r="W91" s="1168"/>
      <c r="X91" s="1168"/>
      <c r="Y91" s="1168"/>
      <c r="Z91" s="1168"/>
      <c r="AA91" s="1672"/>
      <c r="AB91" s="572"/>
      <c r="AC91" s="572"/>
      <c r="AD91" s="572"/>
      <c r="AE91" s="572"/>
    </row>
    <row s="4068" customFormat="1" customHeight="1" ht="11.25">
      <c r="A92" s="994"/>
      <c r="B92" s="1676"/>
      <c r="C92" s="1676"/>
      <c r="D92" s="347"/>
      <c r="K92" s="1168"/>
      <c r="L92" s="1676"/>
      <c r="M92" s="1676"/>
      <c r="N92" s="1168"/>
      <c r="O92" s="1168"/>
      <c r="P92" s="1168"/>
      <c r="Q92" s="1168"/>
      <c r="R92" s="1676"/>
      <c r="S92" s="1168"/>
      <c r="T92" s="1168"/>
      <c r="U92" s="550"/>
      <c r="V92" s="1168"/>
      <c r="W92" s="1168"/>
      <c r="X92" s="1168"/>
      <c r="Y92" s="1168"/>
      <c r="Z92" s="1168"/>
      <c r="AA92" s="1672"/>
      <c r="AB92" s="572"/>
      <c r="AC92" s="572"/>
      <c r="AD92" s="572"/>
      <c r="AE92" s="572"/>
    </row>
    <row s="4068" customFormat="1" customHeight="1" ht="11.25">
      <c r="A93" s="994"/>
      <c r="B93" s="1676"/>
      <c r="C93" s="1676"/>
      <c r="D93" s="347"/>
      <c r="K93" s="1168"/>
      <c r="L93" s="1676"/>
      <c r="M93" s="1676"/>
      <c r="N93" s="1168"/>
      <c r="O93" s="1168"/>
      <c r="P93" s="1168"/>
      <c r="Q93" s="1168"/>
      <c r="R93" s="1676"/>
      <c r="S93" s="1168"/>
      <c r="T93" s="1168"/>
      <c r="U93" s="550"/>
      <c r="V93" s="1168"/>
      <c r="W93" s="1168"/>
      <c r="X93" s="1168"/>
      <c r="Y93" s="1168"/>
      <c r="Z93" s="1168"/>
      <c r="AA93" s="1672"/>
      <c r="AB93" s="572"/>
      <c r="AC93" s="572"/>
      <c r="AD93" s="572"/>
      <c r="AE93" s="572"/>
    </row>
    <row s="4068" customFormat="1" customHeight="1" ht="11.25">
      <c r="A94" s="994"/>
      <c r="B94" s="1676"/>
      <c r="C94" s="1676"/>
      <c r="D94" s="347"/>
      <c r="K94" s="1168"/>
      <c r="L94" s="1676"/>
      <c r="M94" s="1676"/>
      <c r="N94" s="1168"/>
      <c r="O94" s="1168"/>
      <c r="P94" s="1168"/>
      <c r="Q94" s="1168"/>
      <c r="R94" s="1676"/>
      <c r="S94" s="1168"/>
      <c r="T94" s="1168"/>
      <c r="U94" s="550"/>
      <c r="V94" s="1168"/>
      <c r="W94" s="1168"/>
      <c r="X94" s="1168"/>
      <c r="Y94" s="1168"/>
      <c r="Z94" s="1168"/>
      <c r="AA94" s="1672"/>
      <c r="AB94" s="572"/>
      <c r="AC94" s="572"/>
      <c r="AD94" s="572"/>
      <c r="AE94" s="572"/>
    </row>
    <row s="4068" customFormat="1" customHeight="1" ht="11.25">
      <c r="A95" s="994"/>
      <c r="B95" s="1676"/>
      <c r="C95" s="1676"/>
      <c r="D95" s="347"/>
      <c r="K95" s="1168"/>
      <c r="L95" s="1676"/>
      <c r="M95" s="1676"/>
      <c r="N95" s="1168"/>
      <c r="O95" s="1168"/>
      <c r="P95" s="1168"/>
      <c r="Q95" s="1168"/>
      <c r="R95" s="1676"/>
      <c r="S95" s="1168"/>
      <c r="T95" s="1168"/>
      <c r="U95" s="550"/>
      <c r="V95" s="1168"/>
      <c r="W95" s="1168"/>
      <c r="X95" s="1168"/>
      <c r="Y95" s="1168"/>
      <c r="Z95" s="1168"/>
      <c r="AA95" s="1672"/>
      <c r="AB95" s="572"/>
      <c r="AC95" s="572"/>
      <c r="AD95" s="572"/>
      <c r="AE95" s="572"/>
    </row>
    <row s="4068" customFormat="1" customHeight="1" ht="11.25">
      <c r="A96" s="994"/>
      <c r="B96" s="1676"/>
      <c r="C96" s="1676"/>
      <c r="D96" s="347"/>
      <c r="K96" s="1168"/>
      <c r="L96" s="1676"/>
      <c r="M96" s="1676"/>
      <c r="N96" s="1168"/>
      <c r="O96" s="1168"/>
      <c r="P96" s="1168"/>
      <c r="Q96" s="1168"/>
      <c r="R96" s="1676"/>
      <c r="S96" s="1168"/>
      <c r="T96" s="1168"/>
      <c r="U96" s="550"/>
      <c r="V96" s="1168"/>
      <c r="W96" s="1168"/>
      <c r="X96" s="1168"/>
      <c r="Y96" s="1168"/>
      <c r="Z96" s="1168"/>
      <c r="AA96" s="1672"/>
      <c r="AB96" s="572"/>
      <c r="AC96" s="572"/>
      <c r="AD96" s="572"/>
      <c r="AE96" s="572"/>
    </row>
    <row s="4068" customFormat="1" customHeight="1" ht="11.25">
      <c r="A97" s="994"/>
      <c r="B97" s="1676"/>
      <c r="C97" s="1676"/>
      <c r="D97" s="347"/>
      <c r="K97" s="1168"/>
      <c r="L97" s="1676"/>
      <c r="M97" s="1676"/>
      <c r="N97" s="1168"/>
      <c r="O97" s="1168"/>
      <c r="P97" s="1168"/>
      <c r="Q97" s="1168"/>
      <c r="R97" s="1676"/>
      <c r="S97" s="1168"/>
      <c r="T97" s="1168"/>
      <c r="U97" s="550"/>
      <c r="V97" s="1168"/>
      <c r="W97" s="1168"/>
      <c r="X97" s="1168"/>
      <c r="Y97" s="1168"/>
      <c r="Z97" s="1168"/>
      <c r="AA97" s="1672"/>
      <c r="AB97" s="572"/>
      <c r="AC97" s="572"/>
      <c r="AD97" s="572"/>
      <c r="AE97" s="572"/>
    </row>
    <row s="4068" customFormat="1" customHeight="1" ht="11.25">
      <c r="A98" s="994"/>
      <c r="B98" s="1676"/>
      <c r="C98" s="1676"/>
      <c r="D98" s="347"/>
      <c r="K98" s="1168"/>
      <c r="L98" s="1676"/>
      <c r="M98" s="1676"/>
      <c r="N98" s="1168"/>
      <c r="O98" s="1168"/>
      <c r="P98" s="1168"/>
      <c r="Q98" s="1168"/>
      <c r="R98" s="1676"/>
      <c r="S98" s="1168"/>
      <c r="T98" s="1168"/>
      <c r="U98" s="550"/>
      <c r="V98" s="1168"/>
      <c r="W98" s="1168"/>
      <c r="X98" s="1168"/>
      <c r="Y98" s="1168"/>
      <c r="Z98" s="1168"/>
      <c r="AA98" s="1672"/>
      <c r="AB98" s="572"/>
      <c r="AC98" s="572"/>
      <c r="AD98" s="572"/>
      <c r="AE98" s="572"/>
    </row>
    <row s="4068" customFormat="1" customHeight="1" ht="11.25">
      <c r="A99" s="994"/>
      <c r="B99" s="1676"/>
      <c r="C99" s="1676"/>
      <c r="D99" s="347"/>
      <c r="K99" s="1168"/>
      <c r="L99" s="1676"/>
      <c r="M99" s="1676"/>
      <c r="N99" s="1168"/>
      <c r="O99" s="1168"/>
      <c r="P99" s="1168"/>
      <c r="Q99" s="1168"/>
      <c r="R99" s="1676"/>
      <c r="S99" s="1168"/>
      <c r="T99" s="1168"/>
      <c r="U99" s="550"/>
      <c r="V99" s="1168"/>
      <c r="W99" s="1168"/>
      <c r="X99" s="1168"/>
      <c r="Y99" s="1168"/>
      <c r="Z99" s="1168"/>
      <c r="AA99" s="1672"/>
      <c r="AB99" s="572"/>
      <c r="AC99" s="572"/>
      <c r="AD99" s="572"/>
      <c r="AE99" s="572"/>
    </row>
    <row s="4068" customFormat="1" customHeight="1" ht="11.25">
      <c r="A100" s="994"/>
      <c r="B100" s="1676"/>
      <c r="C100" s="1676"/>
      <c r="D100" s="347"/>
      <c r="K100" s="1168"/>
      <c r="L100" s="1676"/>
      <c r="M100" s="1676"/>
      <c r="N100" s="1168"/>
      <c r="O100" s="1168"/>
      <c r="P100" s="1168"/>
      <c r="Q100" s="1168"/>
      <c r="R100" s="1676"/>
      <c r="S100" s="1168"/>
      <c r="T100" s="1168"/>
      <c r="U100" s="550"/>
      <c r="V100" s="1168"/>
      <c r="W100" s="1168"/>
      <c r="X100" s="1168"/>
      <c r="Y100" s="1168"/>
      <c r="Z100" s="1168"/>
      <c r="AA100" s="1672"/>
      <c r="AB100" s="572"/>
      <c r="AC100" s="572"/>
      <c r="AD100" s="572"/>
      <c r="AE100" s="572"/>
    </row>
    <row s="4068" customFormat="1" customHeight="1" ht="11.25">
      <c r="A101" s="994"/>
      <c r="B101" s="1676"/>
      <c r="C101" s="1676"/>
      <c r="D101" s="347"/>
      <c r="K101" s="1168"/>
      <c r="L101" s="1676"/>
      <c r="M101" s="1676"/>
      <c r="N101" s="1168"/>
      <c r="O101" s="1168"/>
      <c r="P101" s="1168"/>
      <c r="Q101" s="1168"/>
      <c r="R101" s="1676"/>
      <c r="S101" s="1168"/>
      <c r="T101" s="1168"/>
      <c r="U101" s="550"/>
      <c r="V101" s="1168"/>
      <c r="W101" s="1168"/>
      <c r="X101" s="1168"/>
      <c r="Y101" s="1168"/>
      <c r="Z101" s="1168"/>
      <c r="AA101" s="1672"/>
      <c r="AB101" s="572"/>
      <c r="AC101" s="572"/>
      <c r="AD101" s="572"/>
      <c r="AE101" s="572"/>
    </row>
    <row s="4068" customFormat="1" customHeight="1" ht="11.25">
      <c r="A102" s="994"/>
      <c r="B102" s="1676"/>
      <c r="C102" s="1676"/>
      <c r="D102" s="347"/>
      <c r="K102" s="1168"/>
      <c r="L102" s="1676"/>
      <c r="M102" s="1676"/>
      <c r="N102" s="1168"/>
      <c r="O102" s="1168"/>
      <c r="P102" s="1168"/>
      <c r="Q102" s="1168"/>
      <c r="R102" s="1676"/>
      <c r="S102" s="1168"/>
      <c r="T102" s="1168"/>
      <c r="U102" s="550"/>
      <c r="V102" s="1168"/>
      <c r="W102" s="1168"/>
      <c r="X102" s="1168"/>
      <c r="Y102" s="1168"/>
      <c r="Z102" s="1168"/>
      <c r="AA102" s="1672"/>
      <c r="AB102" s="572"/>
      <c r="AC102" s="572"/>
      <c r="AD102" s="572"/>
      <c r="AE102" s="572"/>
    </row>
    <row s="4068" customFormat="1" customHeight="1" ht="11.25">
      <c r="A103" s="994"/>
      <c r="B103" s="1676"/>
      <c r="C103" s="1676"/>
      <c r="D103" s="347"/>
      <c r="K103" s="1168"/>
      <c r="L103" s="1676"/>
      <c r="M103" s="1676"/>
      <c r="N103" s="1168"/>
      <c r="O103" s="1168"/>
      <c r="P103" s="1168"/>
      <c r="Q103" s="1168"/>
      <c r="R103" s="1676"/>
      <c r="S103" s="1168"/>
      <c r="T103" s="1168"/>
      <c r="U103" s="550"/>
      <c r="V103" s="1168"/>
      <c r="W103" s="1168"/>
      <c r="X103" s="1168"/>
      <c r="Y103" s="1168"/>
      <c r="Z103" s="1168"/>
      <c r="AA103" s="1672"/>
      <c r="AB103" s="572"/>
      <c r="AC103" s="572"/>
      <c r="AD103" s="572"/>
      <c r="AE103" s="572"/>
    </row>
    <row s="4068" customFormat="1" customHeight="1" ht="11.25">
      <c r="A104" s="994"/>
      <c r="B104" s="1676"/>
      <c r="C104" s="1676"/>
      <c r="D104" s="347"/>
      <c r="K104" s="1168"/>
      <c r="L104" s="1676"/>
      <c r="M104" s="1676"/>
      <c r="N104" s="1168"/>
      <c r="O104" s="1168"/>
      <c r="P104" s="1168"/>
      <c r="Q104" s="1168"/>
      <c r="R104" s="1676"/>
      <c r="S104" s="1168"/>
      <c r="T104" s="1168"/>
      <c r="U104" s="550"/>
      <c r="V104" s="1168"/>
      <c r="W104" s="1168"/>
      <c r="X104" s="1168"/>
      <c r="Y104" s="1168"/>
      <c r="Z104" s="1168"/>
      <c r="AA104" s="1672"/>
      <c r="AB104" s="572"/>
      <c r="AC104" s="572"/>
      <c r="AD104" s="572"/>
      <c r="AE104" s="572"/>
    </row>
    <row s="4068" customFormat="1" customHeight="1" ht="11.25">
      <c r="A105" s="994"/>
      <c r="B105" s="1676"/>
      <c r="C105" s="1676"/>
      <c r="D105" s="347"/>
      <c r="K105" s="1168"/>
      <c r="L105" s="1676"/>
      <c r="M105" s="1676"/>
      <c r="N105" s="1168"/>
      <c r="O105" s="1168"/>
      <c r="P105" s="1168"/>
      <c r="Q105" s="1168"/>
      <c r="R105" s="1676"/>
      <c r="S105" s="1168"/>
      <c r="T105" s="1168"/>
      <c r="U105" s="550"/>
      <c r="V105" s="1168"/>
      <c r="W105" s="1168"/>
      <c r="X105" s="1168"/>
      <c r="Y105" s="1168"/>
      <c r="Z105" s="1168"/>
      <c r="AA105" s="1672"/>
      <c r="AB105" s="572"/>
      <c r="AC105" s="572"/>
      <c r="AD105" s="572"/>
      <c r="AE105" s="572"/>
    </row>
    <row s="4068" customFormat="1" customHeight="1" ht="11.25">
      <c r="A106" s="994"/>
      <c r="B106" s="1676"/>
      <c r="C106" s="1676"/>
      <c r="D106" s="347"/>
      <c r="K106" s="1168"/>
      <c r="L106" s="1676"/>
      <c r="M106" s="1676"/>
      <c r="N106" s="1168"/>
      <c r="O106" s="1168"/>
      <c r="P106" s="1168"/>
      <c r="Q106" s="1168"/>
      <c r="R106" s="1676"/>
      <c r="S106" s="1168"/>
      <c r="T106" s="1168"/>
      <c r="U106" s="550"/>
      <c r="V106" s="1168"/>
      <c r="W106" s="1168"/>
      <c r="X106" s="1168"/>
      <c r="Y106" s="1168"/>
      <c r="Z106" s="1168"/>
      <c r="AA106" s="1672"/>
      <c r="AB106" s="572"/>
      <c r="AC106" s="572"/>
      <c r="AD106" s="572"/>
      <c r="AE106" s="572"/>
    </row>
    <row s="4068" customFormat="1" customHeight="1" ht="11.25">
      <c r="A107" s="994"/>
      <c r="B107" s="1676"/>
      <c r="C107" s="1676"/>
      <c r="D107" s="347"/>
      <c r="K107" s="1168"/>
      <c r="L107" s="1676"/>
      <c r="M107" s="1676"/>
      <c r="N107" s="1168"/>
      <c r="O107" s="1168"/>
      <c r="P107" s="1168"/>
      <c r="Q107" s="1168"/>
      <c r="R107" s="1676"/>
      <c r="S107" s="1168"/>
      <c r="T107" s="1168"/>
      <c r="U107" s="550"/>
      <c r="V107" s="1168"/>
      <c r="W107" s="1168"/>
      <c r="X107" s="1168"/>
      <c r="Y107" s="1168"/>
      <c r="Z107" s="1168"/>
      <c r="AA107" s="1672"/>
      <c r="AB107" s="572"/>
      <c r="AC107" s="572"/>
      <c r="AD107" s="572"/>
      <c r="AE107" s="572"/>
    </row>
    <row s="4068" customFormat="1" customHeight="1" ht="11.25">
      <c r="A108" s="994"/>
      <c r="B108" s="1676"/>
      <c r="C108" s="1676"/>
      <c r="D108" s="347"/>
      <c r="K108" s="1168"/>
      <c r="L108" s="1676"/>
      <c r="M108" s="1676"/>
      <c r="N108" s="1168"/>
      <c r="O108" s="1168"/>
      <c r="P108" s="1168"/>
      <c r="Q108" s="1168"/>
      <c r="R108" s="1676"/>
      <c r="S108" s="1168"/>
      <c r="T108" s="1168"/>
      <c r="U108" s="550"/>
      <c r="V108" s="1168"/>
      <c r="W108" s="1168"/>
      <c r="X108" s="1168"/>
      <c r="Y108" s="1168"/>
      <c r="Z108" s="1168"/>
      <c r="AA108" s="1672"/>
      <c r="AB108" s="572"/>
      <c r="AC108" s="572"/>
      <c r="AD108" s="572"/>
      <c r="AE108" s="572"/>
    </row>
    <row s="4068" customFormat="1" customHeight="1" ht="11.25">
      <c r="A109" s="994"/>
      <c r="B109" s="1676"/>
      <c r="C109" s="1676"/>
      <c r="D109" s="347"/>
      <c r="K109" s="1168"/>
      <c r="L109" s="1676"/>
      <c r="M109" s="1676"/>
      <c r="N109" s="1168"/>
      <c r="O109" s="1168"/>
      <c r="P109" s="1168"/>
      <c r="Q109" s="1168"/>
      <c r="R109" s="1676"/>
      <c r="S109" s="1168"/>
      <c r="T109" s="1168"/>
      <c r="U109" s="550"/>
      <c r="V109" s="1168"/>
      <c r="W109" s="1168"/>
      <c r="X109" s="1168"/>
      <c r="Y109" s="1168"/>
      <c r="Z109" s="1168"/>
      <c r="AA109" s="1672"/>
      <c r="AB109" s="572"/>
      <c r="AC109" s="572"/>
      <c r="AD109" s="572"/>
      <c r="AE109" s="572"/>
    </row>
    <row s="4068" customFormat="1" customHeight="1" ht="11.25">
      <c r="A110" s="994"/>
      <c r="B110" s="1676"/>
      <c r="C110" s="1676"/>
      <c r="D110" s="347"/>
      <c r="K110" s="1168"/>
      <c r="L110" s="1676"/>
      <c r="M110" s="1676"/>
      <c r="N110" s="1168"/>
      <c r="O110" s="1168"/>
      <c r="P110" s="1168"/>
      <c r="Q110" s="1168"/>
      <c r="R110" s="1676"/>
      <c r="S110" s="1168"/>
      <c r="T110" s="1168"/>
      <c r="U110" s="550"/>
      <c r="V110" s="1168"/>
      <c r="W110" s="1168"/>
      <c r="X110" s="1168"/>
      <c r="Y110" s="1168"/>
      <c r="Z110" s="1168"/>
      <c r="AA110" s="1672"/>
      <c r="AB110" s="572"/>
      <c r="AC110" s="572"/>
      <c r="AD110" s="572"/>
      <c r="AE110" s="572"/>
    </row>
    <row s="4068" customFormat="1" customHeight="1" ht="11.25">
      <c r="A111" s="994"/>
      <c r="B111" s="1676"/>
      <c r="C111" s="1676"/>
      <c r="D111" s="347"/>
      <c r="K111" s="1168"/>
      <c r="L111" s="1676"/>
      <c r="M111" s="1676"/>
      <c r="N111" s="1168"/>
      <c r="O111" s="1168"/>
      <c r="P111" s="1168"/>
      <c r="Q111" s="1168"/>
      <c r="R111" s="1676"/>
      <c r="S111" s="1168"/>
      <c r="T111" s="1168"/>
      <c r="U111" s="550"/>
      <c r="V111" s="1168"/>
      <c r="W111" s="1168"/>
      <c r="X111" s="1168"/>
      <c r="Y111" s="1168"/>
      <c r="Z111" s="1168"/>
      <c r="AA111" s="1672"/>
      <c r="AB111" s="572"/>
      <c r="AC111" s="572"/>
      <c r="AD111" s="572"/>
      <c r="AE111" s="572"/>
    </row>
    <row s="4068" customFormat="1" customHeight="1" ht="11.25">
      <c r="A112" s="994"/>
      <c r="B112" s="1676"/>
      <c r="C112" s="1676"/>
      <c r="D112" s="347"/>
      <c r="K112" s="1168"/>
      <c r="L112" s="1676"/>
      <c r="M112" s="1676"/>
      <c r="N112" s="1168"/>
      <c r="O112" s="1168"/>
      <c r="P112" s="1168"/>
      <c r="Q112" s="1168"/>
      <c r="R112" s="1676"/>
      <c r="S112" s="1168"/>
      <c r="T112" s="1168"/>
      <c r="U112" s="550"/>
      <c r="V112" s="1168"/>
      <c r="W112" s="1168"/>
      <c r="X112" s="1168"/>
      <c r="Y112" s="1168"/>
      <c r="Z112" s="1168"/>
      <c r="AA112" s="1672"/>
      <c r="AB112" s="572"/>
      <c r="AC112" s="572"/>
      <c r="AD112" s="572"/>
      <c r="AE112" s="572"/>
    </row>
    <row s="4068" customFormat="1" customHeight="1" ht="11.25">
      <c r="A113" s="994"/>
      <c r="B113" s="1676"/>
      <c r="C113" s="1676"/>
      <c r="D113" s="347"/>
      <c r="K113" s="1168"/>
      <c r="L113" s="1676"/>
      <c r="M113" s="1676"/>
      <c r="N113" s="1168"/>
      <c r="O113" s="1168"/>
      <c r="P113" s="1168"/>
      <c r="Q113" s="1168"/>
      <c r="R113" s="1676"/>
      <c r="S113" s="1168"/>
      <c r="T113" s="1168"/>
      <c r="U113" s="550"/>
      <c r="V113" s="1168"/>
      <c r="W113" s="1168"/>
      <c r="X113" s="1168"/>
      <c r="Y113" s="1168"/>
      <c r="Z113" s="1168"/>
      <c r="AA113" s="1672"/>
      <c r="AB113" s="572"/>
      <c r="AC113" s="572"/>
      <c r="AD113" s="572"/>
      <c r="AE113" s="572"/>
    </row>
    <row s="4068" customFormat="1" customHeight="1" ht="11.25">
      <c r="A114" s="994"/>
      <c r="B114" s="1676"/>
      <c r="C114" s="1676"/>
      <c r="D114" s="347"/>
      <c r="K114" s="1168"/>
      <c r="L114" s="1676"/>
      <c r="M114" s="1676"/>
      <c r="N114" s="1168"/>
      <c r="O114" s="1168"/>
      <c r="P114" s="1168"/>
      <c r="Q114" s="1168"/>
      <c r="R114" s="1676"/>
      <c r="S114" s="1168"/>
      <c r="T114" s="1168"/>
      <c r="U114" s="550"/>
      <c r="V114" s="1168"/>
      <c r="W114" s="1168"/>
      <c r="X114" s="1168"/>
      <c r="Y114" s="1168"/>
      <c r="Z114" s="1168"/>
      <c r="AA114" s="1672"/>
      <c r="AB114" s="572"/>
      <c r="AC114" s="572"/>
      <c r="AD114" s="572"/>
      <c r="AE114" s="572"/>
    </row>
    <row s="4068" customFormat="1" customHeight="1" ht="11.25">
      <c r="A115" s="994"/>
      <c r="B115" s="1676"/>
      <c r="C115" s="1676"/>
      <c r="D115" s="347"/>
      <c r="K115" s="1168"/>
      <c r="L115" s="1676"/>
      <c r="M115" s="1676"/>
      <c r="N115" s="1168"/>
      <c r="O115" s="1168"/>
      <c r="P115" s="1168"/>
      <c r="Q115" s="1168"/>
      <c r="R115" s="1676"/>
      <c r="S115" s="1168"/>
      <c r="T115" s="1168"/>
      <c r="U115" s="550"/>
      <c r="V115" s="1168"/>
      <c r="W115" s="1168"/>
      <c r="X115" s="1168"/>
      <c r="Y115" s="1168"/>
      <c r="Z115" s="1168"/>
      <c r="AA115" s="1672"/>
      <c r="AB115" s="572"/>
      <c r="AC115" s="572"/>
      <c r="AD115" s="572"/>
      <c r="AE115" s="572"/>
    </row>
    <row s="4068" customFormat="1" customHeight="1" ht="11.25">
      <c r="A116" s="994"/>
      <c r="B116" s="1676"/>
      <c r="C116" s="1676"/>
      <c r="D116" s="347"/>
      <c r="K116" s="1168"/>
      <c r="L116" s="1676"/>
      <c r="M116" s="1676"/>
      <c r="N116" s="1168"/>
      <c r="O116" s="1168"/>
      <c r="P116" s="1168"/>
      <c r="Q116" s="1168"/>
      <c r="R116" s="1676"/>
      <c r="S116" s="1168"/>
      <c r="T116" s="1168"/>
      <c r="U116" s="550"/>
      <c r="V116" s="1168"/>
      <c r="W116" s="1168"/>
      <c r="X116" s="1168"/>
      <c r="Y116" s="1168"/>
      <c r="Z116" s="1168"/>
      <c r="AA116" s="1672"/>
      <c r="AB116" s="572"/>
      <c r="AC116" s="572"/>
      <c r="AD116" s="572"/>
      <c r="AE116" s="572"/>
    </row>
    <row s="4068" customFormat="1" customHeight="1" ht="11.25">
      <c r="A117" s="994"/>
      <c r="B117" s="1676"/>
      <c r="C117" s="1676"/>
      <c r="D117" s="347"/>
      <c r="K117" s="1168"/>
      <c r="L117" s="1676"/>
      <c r="M117" s="1676"/>
      <c r="N117" s="1168"/>
      <c r="O117" s="1168"/>
      <c r="P117" s="1168"/>
      <c r="Q117" s="1168"/>
      <c r="R117" s="1676"/>
      <c r="S117" s="1168"/>
      <c r="T117" s="1168"/>
      <c r="U117" s="550"/>
      <c r="V117" s="1168"/>
      <c r="W117" s="1168"/>
      <c r="X117" s="1168"/>
      <c r="Y117" s="1168"/>
      <c r="Z117" s="1168"/>
      <c r="AA117" s="1672"/>
      <c r="AB117" s="572"/>
      <c r="AC117" s="572"/>
      <c r="AD117" s="572"/>
      <c r="AE117" s="572"/>
    </row>
    <row s="4068" customFormat="1" customHeight="1" ht="11.25">
      <c r="A118" s="994"/>
      <c r="B118" s="1676"/>
      <c r="C118" s="1676"/>
      <c r="D118" s="347"/>
      <c r="K118" s="1168"/>
      <c r="L118" s="1676"/>
      <c r="M118" s="1676"/>
      <c r="N118" s="1168"/>
      <c r="O118" s="1168"/>
      <c r="P118" s="1168"/>
      <c r="Q118" s="1168"/>
      <c r="R118" s="1676"/>
      <c r="S118" s="1168"/>
      <c r="T118" s="1168"/>
      <c r="U118" s="550"/>
      <c r="V118" s="1168"/>
      <c r="W118" s="1168"/>
      <c r="X118" s="1168"/>
      <c r="Y118" s="1168"/>
      <c r="Z118" s="1168"/>
      <c r="AA118" s="1672"/>
      <c r="AB118" s="572"/>
      <c r="AC118" s="572"/>
      <c r="AD118" s="572"/>
      <c r="AE118" s="572"/>
    </row>
    <row s="4068" customFormat="1" customHeight="1" ht="11.25">
      <c r="A119" s="994"/>
      <c r="B119" s="1676"/>
      <c r="C119" s="1676"/>
      <c r="D119" s="347"/>
      <c r="K119" s="1168"/>
      <c r="L119" s="1676"/>
      <c r="M119" s="1676"/>
      <c r="N119" s="1168"/>
      <c r="O119" s="1168"/>
      <c r="P119" s="1168"/>
      <c r="Q119" s="1168"/>
      <c r="R119" s="1676"/>
      <c r="S119" s="1168"/>
      <c r="T119" s="1168"/>
      <c r="U119" s="550"/>
      <c r="V119" s="1168"/>
      <c r="W119" s="1168"/>
      <c r="X119" s="1168"/>
      <c r="Y119" s="1168"/>
      <c r="Z119" s="1168"/>
      <c r="AA119" s="1672"/>
      <c r="AB119" s="572"/>
      <c r="AC119" s="572"/>
      <c r="AD119" s="572"/>
      <c r="AE119" s="572"/>
    </row>
    <row s="4068" customFormat="1" customHeight="1" ht="11.25">
      <c r="A120" s="994"/>
      <c r="B120" s="1676"/>
      <c r="C120" s="1676"/>
      <c r="D120" s="347"/>
      <c r="K120" s="1168"/>
      <c r="L120" s="1676"/>
      <c r="M120" s="1676"/>
      <c r="N120" s="1168"/>
      <c r="O120" s="1168"/>
      <c r="P120" s="1168"/>
      <c r="Q120" s="1168"/>
      <c r="R120" s="1676"/>
      <c r="S120" s="1168"/>
      <c r="T120" s="1168"/>
      <c r="U120" s="550"/>
      <c r="V120" s="1168"/>
      <c r="W120" s="1168"/>
      <c r="X120" s="1168"/>
      <c r="Y120" s="1168"/>
      <c r="Z120" s="1168"/>
      <c r="AA120" s="1672"/>
      <c r="AB120" s="572"/>
      <c r="AC120" s="572"/>
      <c r="AD120" s="572"/>
      <c r="AE120" s="572"/>
    </row>
    <row s="4068" customFormat="1" customHeight="1" ht="11.25">
      <c r="A121" s="994"/>
      <c r="B121" s="1676"/>
      <c r="C121" s="1676"/>
      <c r="D121" s="347"/>
      <c r="K121" s="1168"/>
      <c r="L121" s="1676"/>
      <c r="M121" s="1676"/>
      <c r="N121" s="1168"/>
      <c r="O121" s="1168"/>
      <c r="P121" s="1168"/>
      <c r="Q121" s="1168"/>
      <c r="R121" s="1676"/>
      <c r="S121" s="1168"/>
      <c r="T121" s="1168"/>
      <c r="U121" s="550"/>
      <c r="V121" s="1168"/>
      <c r="W121" s="1168"/>
      <c r="X121" s="1168"/>
      <c r="Y121" s="1168"/>
      <c r="Z121" s="1168"/>
      <c r="AA121" s="1672"/>
      <c r="AB121" s="572"/>
      <c r="AC121" s="572"/>
      <c r="AD121" s="572"/>
      <c r="AE121" s="572"/>
    </row>
    <row s="4068" customFormat="1" customHeight="1" ht="11.25">
      <c r="A122" s="994"/>
      <c r="B122" s="1676"/>
      <c r="C122" s="1676"/>
      <c r="D122" s="347"/>
      <c r="K122" s="1168"/>
      <c r="L122" s="1676"/>
      <c r="M122" s="1676"/>
      <c r="N122" s="1168"/>
      <c r="O122" s="1168"/>
      <c r="P122" s="1168"/>
      <c r="Q122" s="1168"/>
      <c r="R122" s="1676"/>
      <c r="S122" s="1168"/>
      <c r="T122" s="1168"/>
      <c r="U122" s="550"/>
      <c r="V122" s="1168"/>
      <c r="W122" s="1168"/>
      <c r="X122" s="1168"/>
      <c r="Y122" s="1168"/>
      <c r="Z122" s="1168"/>
      <c r="AA122" s="1672"/>
      <c r="AB122" s="572"/>
      <c r="AC122" s="572"/>
      <c r="AD122" s="572"/>
      <c r="AE122" s="572"/>
    </row>
    <row s="4068" customFormat="1" customHeight="1" ht="11.25">
      <c r="A123" s="994"/>
      <c r="B123" s="1676"/>
      <c r="C123" s="1676"/>
      <c r="D123" s="347"/>
      <c r="K123" s="1168"/>
      <c r="L123" s="1676"/>
      <c r="M123" s="1676"/>
      <c r="N123" s="1168"/>
      <c r="O123" s="1168"/>
      <c r="P123" s="1168"/>
      <c r="Q123" s="1168"/>
      <c r="R123" s="1676"/>
      <c r="S123" s="1168"/>
      <c r="T123" s="1168"/>
      <c r="U123" s="550"/>
      <c r="V123" s="1168"/>
      <c r="W123" s="1168"/>
      <c r="X123" s="1168"/>
      <c r="Y123" s="1168"/>
      <c r="Z123" s="1168"/>
      <c r="AA123" s="1672"/>
      <c r="AB123" s="572"/>
      <c r="AC123" s="572"/>
      <c r="AD123" s="572"/>
      <c r="AE123" s="572"/>
    </row>
    <row s="4068" customFormat="1" customHeight="1" ht="11.25">
      <c r="A124" s="994"/>
      <c r="B124" s="1676"/>
      <c r="C124" s="1676"/>
      <c r="D124" s="347"/>
      <c r="K124" s="1168"/>
      <c r="L124" s="1676"/>
      <c r="M124" s="1676"/>
      <c r="N124" s="1168"/>
      <c r="O124" s="1168"/>
      <c r="P124" s="1168"/>
      <c r="Q124" s="1168"/>
      <c r="R124" s="1676"/>
      <c r="S124" s="1168"/>
      <c r="T124" s="1168"/>
      <c r="U124" s="550"/>
      <c r="V124" s="1168"/>
      <c r="W124" s="1168"/>
      <c r="X124" s="1168"/>
      <c r="Y124" s="1168"/>
      <c r="Z124" s="1168"/>
      <c r="AA124" s="1672"/>
      <c r="AB124" s="572"/>
      <c r="AC124" s="572"/>
      <c r="AD124" s="572"/>
      <c r="AE124" s="572"/>
    </row>
    <row s="4068" customFormat="1" customHeight="1" ht="11.25">
      <c r="A125" s="994"/>
      <c r="B125" s="1676"/>
      <c r="C125" s="1676"/>
      <c r="D125" s="347"/>
      <c r="K125" s="1168"/>
      <c r="L125" s="1676"/>
      <c r="M125" s="1676"/>
      <c r="N125" s="1168"/>
      <c r="O125" s="1168"/>
      <c r="P125" s="1168"/>
      <c r="Q125" s="1168"/>
      <c r="R125" s="1676"/>
      <c r="S125" s="1168"/>
      <c r="T125" s="1168"/>
      <c r="U125" s="550"/>
      <c r="V125" s="1168"/>
      <c r="W125" s="1168"/>
      <c r="X125" s="1168"/>
      <c r="Y125" s="1168"/>
      <c r="Z125" s="1168"/>
      <c r="AA125" s="1672"/>
      <c r="AB125" s="572"/>
      <c r="AC125" s="572"/>
      <c r="AD125" s="572"/>
      <c r="AE125" s="572"/>
    </row>
    <row s="4068" customFormat="1" customHeight="1" ht="11.25">
      <c r="A126" s="994"/>
      <c r="B126" s="1676"/>
      <c r="C126" s="1676"/>
      <c r="D126" s="347"/>
      <c r="K126" s="1168"/>
      <c r="L126" s="1676"/>
      <c r="M126" s="1676"/>
      <c r="N126" s="1168"/>
      <c r="O126" s="1168"/>
      <c r="P126" s="1168"/>
      <c r="Q126" s="1168"/>
      <c r="R126" s="1676"/>
      <c r="S126" s="1168"/>
      <c r="T126" s="1168"/>
      <c r="U126" s="550"/>
      <c r="V126" s="1168"/>
      <c r="W126" s="1168"/>
      <c r="X126" s="1168"/>
      <c r="Y126" s="1168"/>
      <c r="Z126" s="1168"/>
      <c r="AA126" s="1672"/>
      <c r="AB126" s="572"/>
      <c r="AC126" s="572"/>
      <c r="AD126" s="572"/>
      <c r="AE126" s="572"/>
    </row>
    <row s="4068" customFormat="1" customHeight="1" ht="11.25">
      <c r="A127" s="994"/>
      <c r="B127" s="1676"/>
      <c r="C127" s="1676"/>
      <c r="D127" s="347"/>
      <c r="K127" s="1168"/>
      <c r="L127" s="1676"/>
      <c r="M127" s="1676"/>
      <c r="N127" s="1168"/>
      <c r="O127" s="1168"/>
      <c r="P127" s="1168"/>
      <c r="Q127" s="1168"/>
      <c r="R127" s="1676"/>
      <c r="S127" s="1168"/>
      <c r="T127" s="1168"/>
      <c r="U127" s="550"/>
      <c r="V127" s="1168"/>
      <c r="W127" s="1168"/>
      <c r="X127" s="1168"/>
      <c r="Y127" s="1168"/>
      <c r="Z127" s="1168"/>
      <c r="AA127" s="1672"/>
      <c r="AB127" s="572"/>
      <c r="AC127" s="572"/>
      <c r="AD127" s="572"/>
      <c r="AE127" s="572"/>
    </row>
    <row s="4068" customFormat="1" customHeight="1" ht="11.25">
      <c r="A128" s="994"/>
      <c r="B128" s="1676"/>
      <c r="C128" s="1676"/>
      <c r="D128" s="347"/>
      <c r="K128" s="1168"/>
      <c r="L128" s="1676"/>
      <c r="M128" s="1676"/>
      <c r="N128" s="1168"/>
      <c r="O128" s="1168"/>
      <c r="P128" s="1168"/>
      <c r="Q128" s="1168"/>
      <c r="R128" s="1676"/>
      <c r="S128" s="1168"/>
      <c r="T128" s="1168"/>
      <c r="U128" s="550"/>
      <c r="V128" s="1168"/>
      <c r="W128" s="1168"/>
      <c r="X128" s="1168"/>
      <c r="Y128" s="1168"/>
      <c r="Z128" s="1168"/>
      <c r="AA128" s="1672"/>
      <c r="AB128" s="572"/>
      <c r="AC128" s="572"/>
      <c r="AD128" s="572"/>
      <c r="AE128" s="572"/>
    </row>
    <row s="4068" customFormat="1" customHeight="1" ht="11.25">
      <c r="A129" s="994"/>
      <c r="B129" s="1676"/>
      <c r="C129" s="1676"/>
      <c r="D129" s="347"/>
      <c r="K129" s="1168"/>
      <c r="L129" s="1676"/>
      <c r="M129" s="1676"/>
      <c r="N129" s="1168"/>
      <c r="O129" s="1168"/>
      <c r="P129" s="1168"/>
      <c r="Q129" s="1168"/>
      <c r="R129" s="1676"/>
      <c r="S129" s="1168"/>
      <c r="T129" s="1168"/>
      <c r="U129" s="550"/>
      <c r="V129" s="1168"/>
      <c r="W129" s="1168"/>
      <c r="X129" s="1168"/>
      <c r="Y129" s="1168"/>
      <c r="Z129" s="1168"/>
      <c r="AA129" s="1672"/>
      <c r="AB129" s="572"/>
      <c r="AC129" s="572"/>
      <c r="AD129" s="572"/>
      <c r="AE129" s="572"/>
    </row>
    <row s="4068" customFormat="1" customHeight="1" ht="11.25">
      <c r="A130" s="994"/>
      <c r="B130" s="1676"/>
      <c r="C130" s="1676"/>
      <c r="D130" s="347"/>
      <c r="K130" s="1168"/>
      <c r="L130" s="1676"/>
      <c r="M130" s="1676"/>
      <c r="N130" s="1168"/>
      <c r="O130" s="1168"/>
      <c r="P130" s="1168"/>
      <c r="Q130" s="1168"/>
      <c r="R130" s="1676"/>
      <c r="S130" s="1168"/>
      <c r="T130" s="1168"/>
      <c r="U130" s="550"/>
      <c r="V130" s="1168"/>
      <c r="W130" s="1168"/>
      <c r="X130" s="1168"/>
      <c r="Y130" s="1168"/>
      <c r="Z130" s="1168"/>
      <c r="AA130" s="1672"/>
      <c r="AB130" s="572"/>
      <c r="AC130" s="572"/>
      <c r="AD130" s="572"/>
      <c r="AE130" s="572"/>
    </row>
    <row s="4068" customFormat="1" customHeight="1" ht="11.25">
      <c r="A131" s="994"/>
      <c r="B131" s="1676"/>
      <c r="C131" s="1676"/>
      <c r="D131" s="347"/>
      <c r="K131" s="1168"/>
      <c r="L131" s="1676"/>
      <c r="M131" s="1676"/>
      <c r="N131" s="1168"/>
      <c r="O131" s="1168"/>
      <c r="P131" s="1168"/>
      <c r="Q131" s="1168"/>
      <c r="R131" s="1676"/>
      <c r="S131" s="1168"/>
      <c r="T131" s="1168"/>
      <c r="U131" s="550"/>
      <c r="V131" s="1168"/>
      <c r="W131" s="1168"/>
      <c r="X131" s="1168"/>
      <c r="Y131" s="1168"/>
      <c r="Z131" s="1168"/>
      <c r="AA131" s="1672"/>
      <c r="AB131" s="572"/>
      <c r="AC131" s="572"/>
      <c r="AD131" s="572"/>
      <c r="AE131" s="572"/>
    </row>
    <row s="4068" customFormat="1" customHeight="1" ht="11.25">
      <c r="A132" s="994"/>
      <c r="B132" s="1676"/>
      <c r="C132" s="1676"/>
      <c r="D132" s="347"/>
      <c r="K132" s="1168"/>
      <c r="L132" s="1676"/>
      <c r="M132" s="1676"/>
      <c r="N132" s="1168"/>
      <c r="O132" s="1168"/>
      <c r="P132" s="1168"/>
      <c r="Q132" s="1168"/>
      <c r="R132" s="1676"/>
      <c r="S132" s="1168"/>
      <c r="T132" s="1168"/>
      <c r="U132" s="550"/>
      <c r="V132" s="1168"/>
      <c r="W132" s="1168"/>
      <c r="X132" s="1168"/>
      <c r="Y132" s="1168"/>
      <c r="Z132" s="1168"/>
      <c r="AA132" s="1672"/>
      <c r="AB132" s="572"/>
      <c r="AC132" s="572"/>
      <c r="AD132" s="572"/>
      <c r="AE132" s="572"/>
    </row>
    <row s="4068" customFormat="1" customHeight="1" ht="11.25">
      <c r="A133" s="994"/>
      <c r="B133" s="1676"/>
      <c r="C133" s="1676"/>
      <c r="D133" s="347"/>
      <c r="K133" s="1168"/>
      <c r="L133" s="1676"/>
      <c r="M133" s="1676"/>
      <c r="N133" s="1168"/>
      <c r="O133" s="1168"/>
      <c r="P133" s="1168"/>
      <c r="Q133" s="1168"/>
      <c r="R133" s="1676"/>
      <c r="S133" s="1168"/>
      <c r="T133" s="1168"/>
      <c r="U133" s="550"/>
      <c r="V133" s="1168"/>
      <c r="W133" s="1168"/>
      <c r="X133" s="1168"/>
      <c r="Y133" s="1168"/>
      <c r="Z133" s="1168"/>
      <c r="AA133" s="1672"/>
      <c r="AB133" s="572"/>
      <c r="AC133" s="572"/>
      <c r="AD133" s="572"/>
      <c r="AE133" s="572"/>
    </row>
    <row s="4068" customFormat="1" customHeight="1" ht="11.25">
      <c r="A134" s="994"/>
      <c r="B134" s="1676"/>
      <c r="C134" s="1676"/>
      <c r="D134" s="347"/>
      <c r="K134" s="1168"/>
      <c r="L134" s="1676"/>
      <c r="M134" s="1676"/>
      <c r="N134" s="1168"/>
      <c r="O134" s="1168"/>
      <c r="P134" s="1168"/>
      <c r="Q134" s="1168"/>
      <c r="R134" s="1676"/>
      <c r="S134" s="1168"/>
      <c r="T134" s="1168"/>
      <c r="U134" s="550"/>
      <c r="V134" s="1168"/>
      <c r="W134" s="1168"/>
      <c r="X134" s="1168"/>
      <c r="Y134" s="1168"/>
      <c r="Z134" s="1168"/>
      <c r="AA134" s="1672"/>
      <c r="AB134" s="572"/>
      <c r="AC134" s="572"/>
      <c r="AD134" s="572"/>
      <c r="AE134" s="572"/>
    </row>
    <row s="4068" customFormat="1" customHeight="1" ht="11.25">
      <c r="A135" s="994"/>
      <c r="B135" s="1676"/>
      <c r="C135" s="1676"/>
      <c r="D135" s="347"/>
      <c r="K135" s="1168"/>
      <c r="L135" s="1676"/>
      <c r="M135" s="1676"/>
      <c r="N135" s="1168"/>
      <c r="O135" s="1168"/>
      <c r="P135" s="1168"/>
      <c r="Q135" s="1168"/>
      <c r="R135" s="1676"/>
      <c r="S135" s="1168"/>
      <c r="T135" s="1168"/>
      <c r="U135" s="550"/>
      <c r="V135" s="1168"/>
      <c r="W135" s="1168"/>
      <c r="X135" s="1168"/>
      <c r="Y135" s="1168"/>
      <c r="Z135" s="1168"/>
      <c r="AA135" s="1672"/>
      <c r="AB135" s="572"/>
      <c r="AC135" s="572"/>
      <c r="AD135" s="572"/>
      <c r="AE135" s="572"/>
    </row>
    <row s="4068" customFormat="1" customHeight="1" ht="11.25">
      <c r="A136" s="994"/>
      <c r="B136" s="1676"/>
      <c r="C136" s="1676"/>
      <c r="D136" s="347"/>
      <c r="K136" s="1168"/>
      <c r="L136" s="1676"/>
      <c r="M136" s="1676"/>
      <c r="N136" s="1168"/>
      <c r="O136" s="1168"/>
      <c r="P136" s="1168"/>
      <c r="Q136" s="1168"/>
      <c r="R136" s="1676"/>
      <c r="S136" s="1168"/>
      <c r="T136" s="1168"/>
      <c r="U136" s="550"/>
      <c r="V136" s="1168"/>
      <c r="W136" s="1168"/>
      <c r="X136" s="1168"/>
      <c r="Y136" s="1168"/>
      <c r="Z136" s="1168"/>
      <c r="AA136" s="1672"/>
      <c r="AB136" s="572"/>
      <c r="AC136" s="572"/>
      <c r="AD136" s="572"/>
      <c r="AE136" s="572"/>
    </row>
    <row s="4068" customFormat="1" customHeight="1" ht="11.25">
      <c r="A137" s="994"/>
      <c r="B137" s="1676"/>
      <c r="C137" s="1676"/>
      <c r="D137" s="347"/>
      <c r="K137" s="1168"/>
      <c r="L137" s="1676"/>
      <c r="M137" s="1676"/>
      <c r="N137" s="1168"/>
      <c r="O137" s="1168"/>
      <c r="P137" s="1168"/>
      <c r="Q137" s="1168"/>
      <c r="R137" s="1676"/>
      <c r="S137" s="1168"/>
      <c r="T137" s="1168"/>
      <c r="U137" s="550"/>
      <c r="V137" s="1168"/>
      <c r="W137" s="1168"/>
      <c r="X137" s="1168"/>
      <c r="Y137" s="1168"/>
      <c r="Z137" s="1168"/>
      <c r="AA137" s="1672"/>
      <c r="AB137" s="572"/>
      <c r="AC137" s="572"/>
      <c r="AD137" s="572"/>
      <c r="AE137" s="572"/>
    </row>
    <row s="4068" customFormat="1" customHeight="1" ht="11.25">
      <c r="A138" s="994"/>
      <c r="B138" s="1676"/>
      <c r="C138" s="1676"/>
      <c r="D138" s="347"/>
      <c r="K138" s="1168"/>
      <c r="L138" s="1676"/>
      <c r="M138" s="1676"/>
      <c r="N138" s="1168"/>
      <c r="O138" s="1168"/>
      <c r="P138" s="1168"/>
      <c r="Q138" s="1168"/>
      <c r="R138" s="1676"/>
      <c r="S138" s="1168"/>
      <c r="T138" s="1168"/>
      <c r="U138" s="550"/>
      <c r="V138" s="1168"/>
      <c r="W138" s="1168"/>
      <c r="X138" s="1168"/>
      <c r="Y138" s="1168"/>
      <c r="Z138" s="1168"/>
      <c r="AA138" s="1672"/>
      <c r="AB138" s="572"/>
      <c r="AC138" s="572"/>
      <c r="AD138" s="572"/>
      <c r="AE138" s="572"/>
    </row>
    <row s="4068" customFormat="1" customHeight="1" ht="11.25">
      <c r="A139" s="994"/>
      <c r="B139" s="1676"/>
      <c r="C139" s="1676"/>
      <c r="D139" s="347"/>
      <c r="K139" s="1168"/>
      <c r="L139" s="1676"/>
      <c r="M139" s="1676"/>
      <c r="N139" s="1168"/>
      <c r="O139" s="1168"/>
      <c r="P139" s="1168"/>
      <c r="Q139" s="1168"/>
      <c r="R139" s="1676"/>
      <c r="S139" s="1168"/>
      <c r="T139" s="1168"/>
      <c r="U139" s="550"/>
      <c r="V139" s="1168"/>
      <c r="W139" s="1168"/>
      <c r="X139" s="1168"/>
      <c r="Y139" s="1168"/>
      <c r="Z139" s="1168"/>
      <c r="AA139" s="1672"/>
      <c r="AB139" s="572"/>
      <c r="AC139" s="572"/>
      <c r="AD139" s="572"/>
      <c r="AE139" s="572"/>
    </row>
    <row s="4068" customFormat="1" customHeight="1" ht="11.25">
      <c r="A140" s="994"/>
      <c r="B140" s="1676"/>
      <c r="C140" s="1676"/>
      <c r="D140" s="347"/>
      <c r="K140" s="1168"/>
      <c r="L140" s="1676"/>
      <c r="M140" s="1676"/>
      <c r="N140" s="1168"/>
      <c r="O140" s="1168"/>
      <c r="P140" s="1168"/>
      <c r="Q140" s="1168"/>
      <c r="R140" s="1676"/>
      <c r="S140" s="1168"/>
      <c r="T140" s="1168"/>
      <c r="U140" s="550"/>
      <c r="V140" s="1168"/>
      <c r="W140" s="1168"/>
      <c r="X140" s="1168"/>
      <c r="Y140" s="1168"/>
      <c r="Z140" s="1168"/>
      <c r="AA140" s="1672"/>
      <c r="AB140" s="572"/>
      <c r="AC140" s="572"/>
      <c r="AD140" s="572"/>
      <c r="AE140" s="572"/>
    </row>
    <row s="4068" customFormat="1" customHeight="1" ht="11.25">
      <c r="A141" s="994"/>
      <c r="B141" s="1676"/>
      <c r="C141" s="1676"/>
      <c r="D141" s="347"/>
      <c r="K141" s="1168"/>
      <c r="L141" s="1676"/>
      <c r="M141" s="1676"/>
      <c r="N141" s="1168"/>
      <c r="O141" s="1168"/>
      <c r="P141" s="1168"/>
      <c r="Q141" s="1168"/>
      <c r="R141" s="1676"/>
      <c r="S141" s="1168"/>
      <c r="T141" s="1168"/>
      <c r="U141" s="550"/>
      <c r="V141" s="1168"/>
      <c r="W141" s="1168"/>
      <c r="X141" s="1168"/>
      <c r="Y141" s="1168"/>
      <c r="Z141" s="1168"/>
      <c r="AA141" s="1672"/>
      <c r="AB141" s="572"/>
      <c r="AC141" s="572"/>
      <c r="AD141" s="572"/>
      <c r="AE141" s="572"/>
    </row>
    <row s="4068" customFormat="1" customHeight="1" ht="11.25">
      <c r="A142" s="994"/>
      <c r="B142" s="1676"/>
      <c r="C142" s="1676"/>
      <c r="D142" s="347"/>
      <c r="K142" s="1168"/>
      <c r="L142" s="1676"/>
      <c r="M142" s="1676"/>
      <c r="N142" s="1168"/>
      <c r="O142" s="1168"/>
      <c r="P142" s="1168"/>
      <c r="Q142" s="1168"/>
      <c r="R142" s="1676"/>
      <c r="S142" s="1168"/>
      <c r="T142" s="1168"/>
      <c r="U142" s="550"/>
      <c r="V142" s="1168"/>
      <c r="W142" s="1168"/>
      <c r="X142" s="1168"/>
      <c r="Y142" s="1168"/>
      <c r="Z142" s="1168"/>
      <c r="AA142" s="1672"/>
      <c r="AB142" s="572"/>
      <c r="AC142" s="572"/>
      <c r="AD142" s="572"/>
      <c r="AE142" s="572"/>
    </row>
    <row s="4068" customFormat="1" customHeight="1" ht="11.25">
      <c r="A143" s="994"/>
      <c r="B143" s="1676"/>
      <c r="C143" s="1676"/>
      <c r="D143" s="347"/>
      <c r="K143" s="1168"/>
      <c r="L143" s="1676"/>
      <c r="M143" s="1676"/>
      <c r="N143" s="1168"/>
      <c r="O143" s="1168"/>
      <c r="P143" s="1168"/>
      <c r="Q143" s="1168"/>
      <c r="R143" s="1676"/>
      <c r="S143" s="1168"/>
      <c r="T143" s="1168"/>
      <c r="U143" s="550"/>
      <c r="V143" s="1168"/>
      <c r="W143" s="1168"/>
      <c r="X143" s="1168"/>
      <c r="Y143" s="1168"/>
      <c r="Z143" s="1168"/>
      <c r="AA143" s="1672"/>
      <c r="AB143" s="572"/>
      <c r="AC143" s="572"/>
      <c r="AD143" s="572"/>
      <c r="AE143" s="572"/>
    </row>
    <row s="4068" customFormat="1" customHeight="1" ht="11.25">
      <c r="A144" s="994"/>
      <c r="B144" s="1676"/>
      <c r="C144" s="1676"/>
      <c r="D144" s="347"/>
      <c r="K144" s="1168"/>
      <c r="L144" s="1676"/>
      <c r="M144" s="1676"/>
      <c r="N144" s="1168"/>
      <c r="O144" s="1168"/>
      <c r="P144" s="1168"/>
      <c r="Q144" s="1168"/>
      <c r="R144" s="1676"/>
      <c r="S144" s="1168"/>
      <c r="T144" s="1168"/>
      <c r="U144" s="550"/>
      <c r="V144" s="1168"/>
      <c r="W144" s="1168"/>
      <c r="X144" s="1168"/>
      <c r="Y144" s="1168"/>
      <c r="Z144" s="1168"/>
      <c r="AA144" s="1672"/>
      <c r="AB144" s="572"/>
      <c r="AC144" s="572"/>
      <c r="AD144" s="572"/>
      <c r="AE144" s="572"/>
    </row>
    <row s="4068" customFormat="1" customHeight="1" ht="11.25">
      <c r="A145" s="994"/>
      <c r="B145" s="1676"/>
      <c r="C145" s="1676"/>
      <c r="D145" s="347"/>
      <c r="K145" s="1168"/>
      <c r="L145" s="1676"/>
      <c r="M145" s="1676"/>
      <c r="N145" s="1168"/>
      <c r="O145" s="1168"/>
      <c r="P145" s="1168"/>
      <c r="Q145" s="1168"/>
      <c r="R145" s="1676"/>
      <c r="S145" s="1168"/>
      <c r="T145" s="1168"/>
      <c r="U145" s="550"/>
      <c r="V145" s="1168"/>
      <c r="W145" s="1168"/>
      <c r="X145" s="1168"/>
      <c r="Y145" s="1168"/>
      <c r="Z145" s="1168"/>
      <c r="AA145" s="1672"/>
      <c r="AB145" s="572"/>
      <c r="AC145" s="572"/>
      <c r="AD145" s="572"/>
      <c r="AE145" s="572"/>
    </row>
    <row s="4068" customFormat="1" customHeight="1" ht="11.25">
      <c r="A146" s="994"/>
      <c r="B146" s="1676"/>
      <c r="C146" s="1676"/>
      <c r="D146" s="347"/>
      <c r="K146" s="1168"/>
      <c r="L146" s="1676"/>
      <c r="M146" s="1676"/>
      <c r="N146" s="1168"/>
      <c r="O146" s="1168"/>
      <c r="P146" s="1168"/>
      <c r="Q146" s="1168"/>
      <c r="R146" s="1676"/>
      <c r="S146" s="1168"/>
      <c r="T146" s="1168"/>
      <c r="U146" s="550"/>
      <c r="V146" s="1168"/>
      <c r="W146" s="1168"/>
      <c r="X146" s="1168"/>
      <c r="Y146" s="1168"/>
      <c r="Z146" s="1168"/>
      <c r="AA146" s="1672"/>
      <c r="AB146" s="572"/>
      <c r="AC146" s="572"/>
      <c r="AD146" s="572"/>
      <c r="AE146" s="572"/>
    </row>
    <row s="4068" customFormat="1" customHeight="1" ht="11.25">
      <c r="A147" s="994"/>
      <c r="B147" s="1676"/>
      <c r="C147" s="1676"/>
      <c r="D147" s="347"/>
      <c r="K147" s="1168"/>
      <c r="L147" s="1676"/>
      <c r="M147" s="1676"/>
      <c r="N147" s="1168"/>
      <c r="O147" s="1168"/>
      <c r="P147" s="1168"/>
      <c r="Q147" s="1168"/>
      <c r="R147" s="1676"/>
      <c r="S147" s="1168"/>
      <c r="T147" s="1168"/>
      <c r="U147" s="550"/>
      <c r="V147" s="1168"/>
      <c r="W147" s="1168"/>
      <c r="X147" s="1168"/>
      <c r="Y147" s="1168"/>
      <c r="Z147" s="1168"/>
      <c r="AA147" s="1672"/>
      <c r="AB147" s="572"/>
      <c r="AC147" s="572"/>
      <c r="AD147" s="572"/>
      <c r="AE147" s="572"/>
    </row>
    <row s="4068" customFormat="1" customHeight="1" ht="11.25">
      <c r="A148" s="994"/>
      <c r="B148" s="1676"/>
      <c r="C148" s="1676"/>
      <c r="D148" s="347"/>
      <c r="K148" s="1168"/>
      <c r="L148" s="1676"/>
      <c r="M148" s="1676"/>
      <c r="N148" s="1168"/>
      <c r="O148" s="1168"/>
      <c r="P148" s="1168"/>
      <c r="Q148" s="1168"/>
      <c r="R148" s="1676"/>
      <c r="S148" s="1168"/>
      <c r="T148" s="1168"/>
      <c r="U148" s="550"/>
      <c r="V148" s="1168"/>
      <c r="W148" s="1168"/>
      <c r="X148" s="1168"/>
      <c r="Y148" s="1168"/>
      <c r="Z148" s="1168"/>
      <c r="AA148" s="1672"/>
      <c r="AB148" s="572"/>
      <c r="AC148" s="572"/>
      <c r="AD148" s="572"/>
      <c r="AE148" s="572"/>
    </row>
    <row s="4068" customFormat="1" customHeight="1" ht="11.25">
      <c r="A149" s="994"/>
      <c r="B149" s="1676"/>
      <c r="C149" s="1676"/>
      <c r="D149" s="347"/>
      <c r="K149" s="1168"/>
      <c r="L149" s="1676"/>
      <c r="M149" s="1676"/>
      <c r="N149" s="1168"/>
      <c r="O149" s="1168"/>
      <c r="P149" s="1168"/>
      <c r="Q149" s="1168"/>
      <c r="R149" s="1676"/>
      <c r="S149" s="1168"/>
      <c r="T149" s="1168"/>
      <c r="U149" s="550"/>
      <c r="V149" s="1168"/>
      <c r="W149" s="1168"/>
      <c r="X149" s="1168"/>
      <c r="Y149" s="1168"/>
      <c r="Z149" s="1168"/>
      <c r="AA149" s="1672"/>
      <c r="AB149" s="572"/>
      <c r="AC149" s="572"/>
      <c r="AD149" s="572"/>
      <c r="AE149" s="572"/>
    </row>
    <row s="4068" customFormat="1" customHeight="1" ht="11.25">
      <c r="A150" s="994"/>
      <c r="B150" s="1676"/>
      <c r="C150" s="1676"/>
      <c r="D150" s="347"/>
      <c r="K150" s="1168"/>
      <c r="L150" s="1676"/>
      <c r="M150" s="1676"/>
      <c r="N150" s="1168"/>
      <c r="O150" s="1168"/>
      <c r="P150" s="1168"/>
      <c r="Q150" s="1168"/>
      <c r="R150" s="1676"/>
      <c r="S150" s="1168"/>
      <c r="T150" s="1168"/>
      <c r="U150" s="550"/>
      <c r="V150" s="1168"/>
      <c r="W150" s="1168"/>
      <c r="X150" s="1168"/>
      <c r="Y150" s="1168"/>
      <c r="Z150" s="1168"/>
      <c r="AA150" s="1672"/>
      <c r="AB150" s="572"/>
      <c r="AC150" s="572"/>
      <c r="AD150" s="572"/>
      <c r="AE150" s="572"/>
    </row>
    <row s="4068" customFormat="1" customHeight="1" ht="11.25">
      <c r="A151" s="994"/>
      <c r="B151" s="1676"/>
      <c r="C151" s="1676"/>
      <c r="D151" s="347"/>
      <c r="K151" s="1168"/>
      <c r="L151" s="1676"/>
      <c r="M151" s="1676"/>
      <c r="N151" s="1168"/>
      <c r="O151" s="1168"/>
      <c r="P151" s="1168"/>
      <c r="Q151" s="1168"/>
      <c r="R151" s="1676"/>
      <c r="S151" s="1168"/>
      <c r="T151" s="1168"/>
      <c r="U151" s="550"/>
      <c r="V151" s="1168"/>
      <c r="W151" s="1168"/>
      <c r="X151" s="1168"/>
      <c r="Y151" s="1168"/>
      <c r="Z151" s="1168"/>
      <c r="AA151" s="1672"/>
      <c r="AB151" s="572"/>
      <c r="AC151" s="572"/>
      <c r="AD151" s="572"/>
      <c r="AE151" s="572"/>
    </row>
    <row s="4068" customFormat="1" customHeight="1" ht="11.25">
      <c r="A152" s="994"/>
      <c r="B152" s="1676"/>
      <c r="C152" s="1676"/>
      <c r="D152" s="347"/>
      <c r="K152" s="1168"/>
      <c r="L152" s="1676"/>
      <c r="M152" s="1676"/>
      <c r="N152" s="1168"/>
      <c r="O152" s="1168"/>
      <c r="P152" s="1168"/>
      <c r="Q152" s="1168"/>
      <c r="R152" s="1676"/>
      <c r="S152" s="1168"/>
      <c r="T152" s="1168"/>
      <c r="U152" s="550"/>
      <c r="V152" s="1168"/>
      <c r="W152" s="1168"/>
      <c r="X152" s="1168"/>
      <c r="Y152" s="1168"/>
      <c r="Z152" s="1168"/>
      <c r="AA152" s="1672"/>
      <c r="AB152" s="572"/>
      <c r="AC152" s="572"/>
      <c r="AD152" s="572"/>
      <c r="AE152" s="572"/>
    </row>
    <row s="4068" customFormat="1" customHeight="1" ht="11.25">
      <c r="A153" s="994"/>
      <c r="B153" s="1676"/>
      <c r="C153" s="1676"/>
      <c r="D153" s="347"/>
      <c r="K153" s="1168"/>
      <c r="L153" s="1676"/>
      <c r="M153" s="1676"/>
      <c r="N153" s="1168"/>
      <c r="O153" s="1168"/>
      <c r="P153" s="1168"/>
      <c r="Q153" s="1168"/>
      <c r="R153" s="1676"/>
      <c r="S153" s="1168"/>
      <c r="T153" s="1168"/>
      <c r="U153" s="550"/>
      <c r="V153" s="1168"/>
      <c r="W153" s="1168"/>
      <c r="X153" s="1168"/>
      <c r="Y153" s="1168"/>
      <c r="Z153" s="1168"/>
      <c r="AA153" s="1672"/>
      <c r="AB153" s="572"/>
      <c r="AC153" s="572"/>
      <c r="AD153" s="572"/>
      <c r="AE153" s="572"/>
    </row>
    <row s="4068" customFormat="1" customHeight="1" ht="11.25">
      <c r="A154" s="994"/>
      <c r="B154" s="1676"/>
      <c r="C154" s="1676"/>
      <c r="D154" s="347"/>
      <c r="K154" s="1168"/>
      <c r="L154" s="1676"/>
      <c r="M154" s="1676"/>
      <c r="N154" s="1168"/>
      <c r="O154" s="1168"/>
      <c r="P154" s="1168"/>
      <c r="Q154" s="1168"/>
      <c r="R154" s="1676"/>
      <c r="S154" s="1168"/>
      <c r="T154" s="1168"/>
      <c r="U154" s="550"/>
      <c r="V154" s="1168"/>
      <c r="W154" s="1168"/>
      <c r="X154" s="1168"/>
      <c r="Y154" s="1168"/>
      <c r="Z154" s="1168"/>
      <c r="AA154" s="1672"/>
      <c r="AB154" s="572"/>
      <c r="AC154" s="572"/>
      <c r="AD154" s="572"/>
      <c r="AE154" s="572"/>
    </row>
    <row s="4068" customFormat="1" customHeight="1" ht="11.25">
      <c r="A155" s="994"/>
      <c r="B155" s="1676"/>
      <c r="C155" s="1676"/>
      <c r="D155" s="347"/>
      <c r="K155" s="1168"/>
      <c r="L155" s="1676"/>
      <c r="M155" s="1676"/>
      <c r="N155" s="1168"/>
      <c r="O155" s="1168"/>
      <c r="P155" s="1168"/>
      <c r="Q155" s="1168"/>
      <c r="R155" s="1676"/>
      <c r="S155" s="1168"/>
      <c r="T155" s="1168"/>
      <c r="U155" s="550"/>
      <c r="V155" s="1168"/>
      <c r="W155" s="1168"/>
      <c r="X155" s="1168"/>
      <c r="Y155" s="1168"/>
      <c r="Z155" s="1168"/>
      <c r="AA155" s="1672"/>
      <c r="AB155" s="572"/>
      <c r="AC155" s="572"/>
      <c r="AD155" s="572"/>
      <c r="AE155" s="572"/>
    </row>
    <row s="4068" customFormat="1" customHeight="1" ht="11.25">
      <c r="A156" s="994"/>
      <c r="B156" s="1676"/>
      <c r="C156" s="1676"/>
      <c r="D156" s="347"/>
      <c r="K156" s="1168"/>
      <c r="L156" s="1676"/>
      <c r="M156" s="1676"/>
      <c r="N156" s="1168"/>
      <c r="O156" s="1168"/>
      <c r="P156" s="1168"/>
      <c r="Q156" s="1168"/>
      <c r="R156" s="1676"/>
      <c r="S156" s="1168"/>
      <c r="T156" s="1168"/>
      <c r="U156" s="550"/>
      <c r="V156" s="1168"/>
      <c r="W156" s="1168"/>
      <c r="X156" s="1168"/>
      <c r="Y156" s="1168"/>
      <c r="Z156" s="1168"/>
      <c r="AA156" s="1672"/>
      <c r="AB156" s="572"/>
      <c r="AC156" s="572"/>
      <c r="AD156" s="572"/>
      <c r="AE156" s="572"/>
    </row>
    <row s="4068" customFormat="1" customHeight="1" ht="11.25">
      <c r="A157" s="994"/>
      <c r="B157" s="1676"/>
      <c r="C157" s="1676"/>
      <c r="D157" s="347"/>
      <c r="K157" s="1168"/>
      <c r="L157" s="1676"/>
      <c r="M157" s="1676"/>
      <c r="N157" s="1168"/>
      <c r="O157" s="1168"/>
      <c r="P157" s="1168"/>
      <c r="Q157" s="1168"/>
      <c r="R157" s="1676"/>
      <c r="S157" s="1168"/>
      <c r="T157" s="1168"/>
      <c r="U157" s="550"/>
      <c r="V157" s="1168"/>
      <c r="W157" s="1168"/>
      <c r="X157" s="1168"/>
      <c r="Y157" s="1168"/>
      <c r="Z157" s="1168"/>
      <c r="AA157" s="1672"/>
      <c r="AB157" s="572"/>
      <c r="AC157" s="572"/>
      <c r="AD157" s="572"/>
      <c r="AE157" s="572"/>
    </row>
    <row s="4068" customFormat="1" customHeight="1" ht="11.25">
      <c r="A158" s="994"/>
      <c r="B158" s="1676"/>
      <c r="C158" s="1676"/>
      <c r="D158" s="347"/>
      <c r="K158" s="1168"/>
      <c r="L158" s="1676"/>
      <c r="M158" s="1676"/>
      <c r="N158" s="1168"/>
      <c r="O158" s="1168"/>
      <c r="P158" s="1168"/>
      <c r="Q158" s="1168"/>
      <c r="R158" s="1676"/>
      <c r="S158" s="1168"/>
      <c r="T158" s="1168"/>
      <c r="U158" s="550"/>
      <c r="V158" s="1168"/>
      <c r="W158" s="1168"/>
      <c r="X158" s="1168"/>
      <c r="Y158" s="1168"/>
      <c r="Z158" s="1168"/>
      <c r="AA158" s="1672"/>
      <c r="AB158" s="572"/>
      <c r="AC158" s="572"/>
      <c r="AD158" s="572"/>
      <c r="AE158" s="572"/>
    </row>
    <row s="4068" customFormat="1" customHeight="1" ht="11.25">
      <c r="A159" s="994"/>
      <c r="B159" s="1676"/>
      <c r="C159" s="1676"/>
      <c r="D159" s="347"/>
      <c r="K159" s="1168"/>
      <c r="L159" s="1676"/>
      <c r="M159" s="1676"/>
      <c r="N159" s="1168"/>
      <c r="O159" s="1168"/>
      <c r="P159" s="1168"/>
      <c r="Q159" s="1168"/>
      <c r="R159" s="1676"/>
      <c r="S159" s="1168"/>
      <c r="T159" s="1168"/>
      <c r="U159" s="550"/>
      <c r="V159" s="1168"/>
      <c r="W159" s="1168"/>
      <c r="X159" s="1168"/>
      <c r="Y159" s="1168"/>
      <c r="Z159" s="1168"/>
      <c r="AA159" s="1672"/>
      <c r="AB159" s="572"/>
      <c r="AC159" s="572"/>
      <c r="AD159" s="572"/>
      <c r="AE159" s="572"/>
    </row>
    <row s="4068" customFormat="1" customHeight="1" ht="11.25">
      <c r="A160" s="994"/>
      <c r="B160" s="1676"/>
      <c r="C160" s="1676"/>
      <c r="D160" s="347"/>
      <c r="K160" s="1168"/>
      <c r="L160" s="1676"/>
      <c r="M160" s="1676"/>
      <c r="N160" s="1168"/>
      <c r="O160" s="1168"/>
      <c r="P160" s="1168"/>
      <c r="Q160" s="1168"/>
      <c r="R160" s="1676"/>
      <c r="S160" s="1168"/>
      <c r="T160" s="1168"/>
      <c r="U160" s="550"/>
      <c r="V160" s="1168"/>
      <c r="W160" s="1168"/>
      <c r="X160" s="1168"/>
      <c r="Y160" s="1168"/>
      <c r="Z160" s="1168"/>
      <c r="AA160" s="1672"/>
      <c r="AB160" s="572"/>
      <c r="AC160" s="572"/>
      <c r="AD160" s="572"/>
      <c r="AE160" s="572"/>
    </row>
    <row s="4068" customFormat="1" customHeight="1" ht="11.25">
      <c r="A161" s="994"/>
      <c r="B161" s="1676"/>
      <c r="C161" s="1676"/>
      <c r="D161" s="347"/>
      <c r="K161" s="1168"/>
      <c r="L161" s="1676"/>
      <c r="M161" s="1676"/>
      <c r="N161" s="1168"/>
      <c r="O161" s="1168"/>
      <c r="P161" s="1168"/>
      <c r="Q161" s="1168"/>
      <c r="R161" s="1676"/>
      <c r="S161" s="1168"/>
      <c r="T161" s="1168"/>
      <c r="U161" s="550"/>
      <c r="V161" s="1168"/>
      <c r="W161" s="1168"/>
      <c r="X161" s="1168"/>
      <c r="Y161" s="1168"/>
      <c r="Z161" s="1168"/>
      <c r="AA161" s="1672"/>
      <c r="AB161" s="572"/>
      <c r="AC161" s="572"/>
      <c r="AD161" s="572"/>
      <c r="AE161" s="572"/>
    </row>
    <row s="4068" customFormat="1" customHeight="1" ht="11.25">
      <c r="A162" s="994"/>
      <c r="B162" s="1676"/>
      <c r="C162" s="1676"/>
      <c r="D162" s="347"/>
      <c r="K162" s="1168"/>
      <c r="L162" s="1676"/>
      <c r="M162" s="1676"/>
      <c r="N162" s="1168"/>
      <c r="O162" s="1168"/>
      <c r="P162" s="1168"/>
      <c r="Q162" s="1168"/>
      <c r="R162" s="1676"/>
      <c r="S162" s="1168"/>
      <c r="T162" s="1168"/>
      <c r="U162" s="550"/>
      <c r="V162" s="1168"/>
      <c r="W162" s="1168"/>
      <c r="X162" s="1168"/>
      <c r="Y162" s="1168"/>
      <c r="Z162" s="1168"/>
      <c r="AA162" s="1672"/>
      <c r="AB162" s="572"/>
      <c r="AC162" s="572"/>
      <c r="AD162" s="572"/>
      <c r="AE162" s="572"/>
    </row>
    <row s="4068" customFormat="1" customHeight="1" ht="11.25">
      <c r="A163" s="994"/>
      <c r="B163" s="1676"/>
      <c r="C163" s="1676"/>
      <c r="D163" s="347"/>
      <c r="K163" s="1168"/>
      <c r="L163" s="1676"/>
      <c r="M163" s="1676"/>
      <c r="N163" s="1168"/>
      <c r="O163" s="1168"/>
      <c r="P163" s="1168"/>
      <c r="Q163" s="1168"/>
      <c r="R163" s="1676"/>
      <c r="S163" s="1168"/>
      <c r="T163" s="1168"/>
      <c r="U163" s="550"/>
      <c r="V163" s="1168"/>
      <c r="W163" s="1168"/>
      <c r="X163" s="1168"/>
      <c r="Y163" s="1168"/>
      <c r="Z163" s="1168"/>
      <c r="AA163" s="1672"/>
      <c r="AB163" s="572"/>
      <c r="AC163" s="572"/>
      <c r="AD163" s="572"/>
      <c r="AE163" s="572"/>
    </row>
    <row s="4068" customFormat="1" customHeight="1" ht="11.25">
      <c r="A164" s="994"/>
      <c r="B164" s="1676"/>
      <c r="C164" s="1676"/>
      <c r="D164" s="347"/>
      <c r="K164" s="1168"/>
      <c r="L164" s="1676"/>
      <c r="M164" s="1676"/>
      <c r="N164" s="1168"/>
      <c r="O164" s="1168"/>
      <c r="P164" s="1168"/>
      <c r="Q164" s="1168"/>
      <c r="R164" s="1676"/>
      <c r="S164" s="1168"/>
      <c r="T164" s="1168"/>
      <c r="U164" s="550"/>
      <c r="V164" s="1168"/>
      <c r="W164" s="1168"/>
      <c r="X164" s="1168"/>
      <c r="Y164" s="1168"/>
      <c r="Z164" s="1168"/>
      <c r="AA164" s="1672"/>
      <c r="AB164" s="572"/>
      <c r="AC164" s="572"/>
      <c r="AD164" s="572"/>
      <c r="AE164" s="572"/>
    </row>
    <row s="4068" customFormat="1" customHeight="1" ht="11.25">
      <c r="A165" s="994"/>
      <c r="B165" s="1676"/>
      <c r="C165" s="1676"/>
      <c r="D165" s="347"/>
      <c r="K165" s="1168"/>
      <c r="L165" s="1676"/>
      <c r="M165" s="1676"/>
      <c r="N165" s="1168"/>
      <c r="O165" s="1168"/>
      <c r="P165" s="1168"/>
      <c r="Q165" s="1168"/>
      <c r="R165" s="1676"/>
      <c r="S165" s="1168"/>
      <c r="T165" s="1168"/>
      <c r="U165" s="550"/>
      <c r="V165" s="1168"/>
      <c r="W165" s="1168"/>
      <c r="X165" s="1168"/>
      <c r="Y165" s="1168"/>
      <c r="Z165" s="1168"/>
      <c r="AA165" s="1672"/>
      <c r="AB165" s="572"/>
      <c r="AC165" s="572"/>
      <c r="AD165" s="572"/>
      <c r="AE165" s="572"/>
    </row>
    <row s="4068" customFormat="1" customHeight="1" ht="11.25">
      <c r="A166" s="994"/>
      <c r="B166" s="1676"/>
      <c r="C166" s="1676"/>
      <c r="D166" s="347"/>
      <c r="K166" s="1168"/>
      <c r="L166" s="1676"/>
      <c r="M166" s="1676"/>
      <c r="N166" s="1168"/>
      <c r="O166" s="1168"/>
      <c r="P166" s="1168"/>
      <c r="Q166" s="1168"/>
      <c r="R166" s="1676"/>
      <c r="S166" s="1168"/>
      <c r="T166" s="1168"/>
      <c r="U166" s="550"/>
      <c r="V166" s="1168"/>
      <c r="W166" s="1168"/>
      <c r="X166" s="1168"/>
      <c r="Y166" s="1168"/>
      <c r="Z166" s="1168"/>
      <c r="AA166" s="1672"/>
      <c r="AB166" s="572"/>
      <c r="AC166" s="572"/>
      <c r="AD166" s="572"/>
      <c r="AE166" s="572"/>
    </row>
    <row s="4068" customFormat="1" customHeight="1" ht="11.25">
      <c r="A167" s="994"/>
      <c r="B167" s="1676"/>
      <c r="C167" s="1676"/>
      <c r="D167" s="347"/>
      <c r="K167" s="1168"/>
      <c r="L167" s="1676"/>
      <c r="M167" s="1676"/>
      <c r="N167" s="1168"/>
      <c r="O167" s="1168"/>
      <c r="P167" s="1168"/>
      <c r="Q167" s="1168"/>
      <c r="R167" s="1676"/>
      <c r="S167" s="1168"/>
      <c r="T167" s="1168"/>
      <c r="U167" s="550"/>
      <c r="V167" s="1168"/>
      <c r="W167" s="1168"/>
      <c r="X167" s="1168"/>
      <c r="Y167" s="1168"/>
      <c r="Z167" s="1168"/>
      <c r="AA167" s="1672"/>
      <c r="AB167" s="572"/>
      <c r="AC167" s="572"/>
      <c r="AD167" s="572"/>
      <c r="AE167" s="572"/>
    </row>
    <row s="4068" customFormat="1" customHeight="1" ht="11.25">
      <c r="A168" s="994"/>
      <c r="B168" s="1676"/>
      <c r="C168" s="1676"/>
      <c r="D168" s="347"/>
      <c r="K168" s="1168"/>
      <c r="L168" s="1676"/>
      <c r="M168" s="1676"/>
      <c r="N168" s="1168"/>
      <c r="O168" s="1168"/>
      <c r="P168" s="1168"/>
      <c r="Q168" s="1168"/>
      <c r="R168" s="1676"/>
      <c r="S168" s="1168"/>
      <c r="T168" s="1168"/>
      <c r="U168" s="550"/>
      <c r="V168" s="1168"/>
      <c r="W168" s="1168"/>
      <c r="X168" s="1168"/>
      <c r="Y168" s="1168"/>
      <c r="Z168" s="1168"/>
      <c r="AA168" s="1672"/>
      <c r="AB168" s="572"/>
      <c r="AC168" s="572"/>
      <c r="AD168" s="572"/>
      <c r="AE168" s="572"/>
    </row>
    <row s="4068" customFormat="1" customHeight="1" ht="11.25">
      <c r="A169" s="994"/>
      <c r="B169" s="1676"/>
      <c r="C169" s="1676"/>
      <c r="D169" s="347"/>
      <c r="K169" s="1168"/>
      <c r="L169" s="1676"/>
      <c r="M169" s="1676"/>
      <c r="N169" s="1168"/>
      <c r="O169" s="1168"/>
      <c r="P169" s="1168"/>
      <c r="Q169" s="1168"/>
      <c r="R169" s="1676"/>
      <c r="S169" s="1168"/>
      <c r="T169" s="1168"/>
      <c r="U169" s="550"/>
      <c r="V169" s="1168"/>
      <c r="W169" s="1168"/>
      <c r="X169" s="1168"/>
      <c r="Y169" s="1168"/>
      <c r="Z169" s="1168"/>
      <c r="AA169" s="1672"/>
      <c r="AB169" s="572"/>
      <c r="AC169" s="572"/>
      <c r="AD169" s="572"/>
      <c r="AE169" s="572"/>
    </row>
    <row s="4068" customFormat="1" customHeight="1" ht="11.25">
      <c r="A170" s="994"/>
      <c r="B170" s="1676"/>
      <c r="C170" s="1676"/>
      <c r="D170" s="347"/>
      <c r="K170" s="1168"/>
      <c r="L170" s="1676"/>
      <c r="M170" s="1676"/>
      <c r="N170" s="1168"/>
      <c r="O170" s="1168"/>
      <c r="P170" s="1168"/>
      <c r="Q170" s="1168"/>
      <c r="R170" s="1676"/>
      <c r="S170" s="1168"/>
      <c r="T170" s="1168"/>
      <c r="U170" s="550"/>
      <c r="V170" s="1168"/>
      <c r="W170" s="1168"/>
      <c r="X170" s="1168"/>
      <c r="Y170" s="1168"/>
      <c r="Z170" s="1168"/>
      <c r="AA170" s="1672"/>
      <c r="AB170" s="572"/>
      <c r="AC170" s="572"/>
      <c r="AD170" s="572"/>
      <c r="AE170" s="572"/>
    </row>
    <row s="4068" customFormat="1" customHeight="1" ht="11.25">
      <c r="A171" s="994"/>
      <c r="B171" s="1676"/>
      <c r="C171" s="1676"/>
      <c r="D171" s="347"/>
      <c r="K171" s="1168"/>
      <c r="L171" s="1676"/>
      <c r="M171" s="1676"/>
      <c r="N171" s="1168"/>
      <c r="O171" s="1168"/>
      <c r="P171" s="1168"/>
      <c r="Q171" s="1168"/>
      <c r="R171" s="1676"/>
      <c r="S171" s="1168"/>
      <c r="T171" s="1168"/>
      <c r="U171" s="550"/>
      <c r="V171" s="1168"/>
      <c r="W171" s="1168"/>
      <c r="X171" s="1168"/>
      <c r="Y171" s="1168"/>
      <c r="Z171" s="1168"/>
      <c r="AA171" s="1672"/>
      <c r="AB171" s="572"/>
      <c r="AC171" s="572"/>
      <c r="AD171" s="572"/>
      <c r="AE171" s="572"/>
    </row>
    <row s="4068" customFormat="1" customHeight="1" ht="11.25">
      <c r="A172" s="994"/>
      <c r="B172" s="1676"/>
      <c r="C172" s="1676"/>
      <c r="D172" s="347"/>
      <c r="K172" s="1168"/>
      <c r="L172" s="1676"/>
      <c r="M172" s="1676"/>
      <c r="N172" s="1168"/>
      <c r="O172" s="1168"/>
      <c r="P172" s="1168"/>
      <c r="Q172" s="1168"/>
      <c r="R172" s="1676"/>
      <c r="S172" s="1168"/>
      <c r="T172" s="1168"/>
      <c r="U172" s="550"/>
      <c r="V172" s="1168"/>
      <c r="W172" s="1168"/>
      <c r="X172" s="1168"/>
      <c r="Y172" s="1168"/>
      <c r="Z172" s="1168"/>
      <c r="AA172" s="1672"/>
      <c r="AB172" s="572"/>
      <c r="AC172" s="572"/>
      <c r="AD172" s="572"/>
      <c r="AE172" s="572"/>
    </row>
    <row s="4068" customFormat="1" customHeight="1" ht="11.25">
      <c r="A173" s="994"/>
      <c r="B173" s="1676"/>
      <c r="C173" s="1676"/>
      <c r="D173" s="347"/>
      <c r="K173" s="1168"/>
      <c r="L173" s="1676"/>
      <c r="M173" s="1676"/>
      <c r="N173" s="1168"/>
      <c r="O173" s="1168"/>
      <c r="P173" s="1168"/>
      <c r="Q173" s="1168"/>
      <c r="R173" s="1676"/>
      <c r="S173" s="1168"/>
      <c r="T173" s="1168"/>
      <c r="U173" s="550"/>
      <c r="V173" s="1168"/>
      <c r="W173" s="1168"/>
      <c r="X173" s="1168"/>
      <c r="Y173" s="1168"/>
      <c r="Z173" s="1168"/>
      <c r="AA173" s="1672"/>
      <c r="AB173" s="572"/>
      <c r="AC173" s="572"/>
      <c r="AD173" s="572"/>
      <c r="AE173" s="572"/>
    </row>
    <row s="4068" customFormat="1" customHeight="1" ht="11.25">
      <c r="A174" s="994"/>
      <c r="B174" s="1676"/>
      <c r="C174" s="1676"/>
      <c r="D174" s="347"/>
      <c r="K174" s="1168"/>
      <c r="L174" s="1676"/>
      <c r="M174" s="1676"/>
      <c r="N174" s="1168"/>
      <c r="O174" s="1168"/>
      <c r="P174" s="1168"/>
      <c r="Q174" s="1168"/>
      <c r="R174" s="1676"/>
      <c r="S174" s="1168"/>
      <c r="T174" s="1168"/>
      <c r="U174" s="550"/>
      <c r="V174" s="1168"/>
      <c r="W174" s="1168"/>
      <c r="X174" s="1168"/>
      <c r="Y174" s="1168"/>
      <c r="Z174" s="1168"/>
      <c r="AA174" s="1672"/>
      <c r="AB174" s="572"/>
      <c r="AC174" s="572"/>
      <c r="AD174" s="572"/>
      <c r="AE174" s="572"/>
    </row>
    <row s="4068" customFormat="1" customHeight="1" ht="11.25">
      <c r="A175" s="994"/>
      <c r="B175" s="1676"/>
      <c r="C175" s="1676"/>
      <c r="D175" s="347"/>
      <c r="K175" s="1168"/>
      <c r="L175" s="1676"/>
      <c r="M175" s="1676"/>
      <c r="N175" s="1168"/>
      <c r="O175" s="1168"/>
      <c r="P175" s="1168"/>
      <c r="Q175" s="1168"/>
      <c r="R175" s="1676"/>
      <c r="S175" s="1168"/>
      <c r="T175" s="1168"/>
      <c r="U175" s="550"/>
      <c r="V175" s="1168"/>
      <c r="W175" s="1168"/>
      <c r="X175" s="1168"/>
      <c r="Y175" s="1168"/>
      <c r="Z175" s="1168"/>
      <c r="AA175" s="1672"/>
      <c r="AB175" s="572"/>
      <c r="AC175" s="572"/>
      <c r="AD175" s="572"/>
      <c r="AE175" s="572"/>
    </row>
    <row s="4068" customFormat="1" customHeight="1" ht="11.25">
      <c r="A176" s="994"/>
      <c r="B176" s="1676"/>
      <c r="C176" s="1676"/>
      <c r="D176" s="347"/>
      <c r="K176" s="1168"/>
      <c r="L176" s="1676"/>
      <c r="M176" s="1676"/>
      <c r="N176" s="1168"/>
      <c r="O176" s="1168"/>
      <c r="P176" s="1168"/>
      <c r="Q176" s="1168"/>
      <c r="R176" s="1676"/>
      <c r="S176" s="1168"/>
      <c r="T176" s="1168"/>
      <c r="U176" s="550"/>
      <c r="V176" s="1168"/>
      <c r="W176" s="1168"/>
      <c r="X176" s="1168"/>
      <c r="Y176" s="1168"/>
      <c r="Z176" s="1168"/>
      <c r="AA176" s="1672"/>
      <c r="AB176" s="572"/>
      <c r="AC176" s="572"/>
      <c r="AD176" s="572"/>
      <c r="AE176" s="572"/>
    </row>
    <row s="4068" customFormat="1" customHeight="1" ht="11.25">
      <c r="A177" s="994"/>
      <c r="B177" s="1676"/>
      <c r="C177" s="1676"/>
      <c r="D177" s="347"/>
      <c r="K177" s="1168"/>
      <c r="L177" s="1676"/>
      <c r="M177" s="1676"/>
      <c r="N177" s="1168"/>
      <c r="O177" s="1168"/>
      <c r="P177" s="1168"/>
      <c r="Q177" s="1168"/>
      <c r="R177" s="1676"/>
      <c r="S177" s="1168"/>
      <c r="T177" s="1168"/>
      <c r="U177" s="550"/>
      <c r="V177" s="1168"/>
      <c r="W177" s="1168"/>
      <c r="X177" s="1168"/>
      <c r="Y177" s="1168"/>
      <c r="Z177" s="1168"/>
      <c r="AA177" s="1672"/>
      <c r="AB177" s="572"/>
      <c r="AC177" s="572"/>
      <c r="AD177" s="572"/>
      <c r="AE177" s="572"/>
    </row>
    <row s="4068" customFormat="1" customHeight="1" ht="11.25">
      <c r="A178" s="994"/>
      <c r="B178" s="1676"/>
      <c r="C178" s="1676"/>
      <c r="D178" s="347"/>
      <c r="K178" s="1168"/>
      <c r="L178" s="1676"/>
      <c r="M178" s="1676"/>
      <c r="N178" s="1168"/>
      <c r="O178" s="1168"/>
      <c r="P178" s="1168"/>
      <c r="Q178" s="1168"/>
      <c r="R178" s="1676"/>
      <c r="S178" s="1168"/>
      <c r="T178" s="1168"/>
      <c r="U178" s="550"/>
      <c r="V178" s="1168"/>
      <c r="W178" s="1168"/>
      <c r="X178" s="1168"/>
      <c r="Y178" s="1168"/>
      <c r="Z178" s="1168"/>
      <c r="AA178" s="1672"/>
      <c r="AB178" s="572"/>
      <c r="AC178" s="572"/>
      <c r="AD178" s="572"/>
      <c r="AE178" s="572"/>
    </row>
    <row s="4068" customFormat="1" customHeight="1" ht="11.25">
      <c r="A179" s="994"/>
      <c r="B179" s="1676"/>
      <c r="C179" s="1676"/>
      <c r="D179" s="347"/>
      <c r="K179" s="1168"/>
      <c r="L179" s="1676"/>
      <c r="M179" s="1676"/>
      <c r="N179" s="1168"/>
      <c r="O179" s="1168"/>
      <c r="P179" s="1168"/>
      <c r="Q179" s="1168"/>
      <c r="R179" s="1676"/>
      <c r="S179" s="1168"/>
      <c r="T179" s="1168"/>
      <c r="U179" s="550"/>
      <c r="V179" s="1168"/>
      <c r="W179" s="1168"/>
      <c r="X179" s="1168"/>
      <c r="Y179" s="1168"/>
      <c r="Z179" s="1168"/>
      <c r="AA179" s="1672"/>
      <c r="AB179" s="572"/>
      <c r="AC179" s="572"/>
      <c r="AD179" s="572"/>
      <c r="AE179" s="572"/>
    </row>
    <row s="4068" customFormat="1" customHeight="1" ht="11.25">
      <c r="A180" s="994"/>
      <c r="B180" s="1676"/>
      <c r="C180" s="1676"/>
      <c r="D180" s="347"/>
      <c r="K180" s="1168"/>
      <c r="L180" s="1676"/>
      <c r="M180" s="1676"/>
      <c r="N180" s="1168"/>
      <c r="O180" s="1168"/>
      <c r="P180" s="1168"/>
      <c r="Q180" s="1168"/>
      <c r="R180" s="1676"/>
      <c r="S180" s="1168"/>
      <c r="T180" s="1168"/>
      <c r="U180" s="550"/>
      <c r="V180" s="1168"/>
      <c r="W180" s="1168"/>
      <c r="X180" s="1168"/>
      <c r="Y180" s="1168"/>
      <c r="Z180" s="1168"/>
      <c r="AA180" s="1672"/>
      <c r="AB180" s="572"/>
      <c r="AC180" s="572"/>
      <c r="AD180" s="572"/>
      <c r="AE180" s="572"/>
    </row>
    <row s="4068" customFormat="1" customHeight="1" ht="11.25">
      <c r="A181" s="994"/>
      <c r="B181" s="1676"/>
      <c r="C181" s="1676"/>
      <c r="D181" s="347"/>
      <c r="K181" s="1168"/>
      <c r="L181" s="1676"/>
      <c r="M181" s="1676"/>
      <c r="N181" s="1168"/>
      <c r="O181" s="1168"/>
      <c r="P181" s="1168"/>
      <c r="Q181" s="1168"/>
      <c r="R181" s="1676"/>
      <c r="S181" s="1168"/>
      <c r="T181" s="1168"/>
      <c r="U181" s="550"/>
      <c r="V181" s="1168"/>
      <c r="W181" s="1168"/>
      <c r="X181" s="1168"/>
      <c r="Y181" s="1168"/>
      <c r="Z181" s="1168"/>
      <c r="AA181" s="1672"/>
      <c r="AB181" s="572"/>
      <c r="AC181" s="572"/>
      <c r="AD181" s="572"/>
      <c r="AE181" s="572"/>
    </row>
    <row s="4068" customFormat="1" customHeight="1" ht="11.25">
      <c r="A182" s="994"/>
      <c r="B182" s="1676"/>
      <c r="C182" s="1676"/>
      <c r="D182" s="347"/>
      <c r="K182" s="1168"/>
      <c r="L182" s="1676"/>
      <c r="M182" s="1676"/>
      <c r="N182" s="1168"/>
      <c r="O182" s="1168"/>
      <c r="P182" s="1168"/>
      <c r="Q182" s="1168"/>
      <c r="R182" s="1676"/>
      <c r="S182" s="1168"/>
      <c r="T182" s="1168"/>
      <c r="U182" s="550"/>
      <c r="V182" s="1168"/>
      <c r="W182" s="1168"/>
      <c r="X182" s="1168"/>
      <c r="Y182" s="1168"/>
      <c r="Z182" s="1168"/>
      <c r="AA182" s="1672"/>
      <c r="AB182" s="572"/>
      <c r="AC182" s="572"/>
      <c r="AD182" s="572"/>
      <c r="AE182" s="572"/>
    </row>
    <row s="4068" customFormat="1" customHeight="1" ht="11.25">
      <c r="A183" s="994"/>
      <c r="B183" s="1676"/>
      <c r="C183" s="1676"/>
      <c r="D183" s="347"/>
      <c r="K183" s="1168"/>
      <c r="L183" s="1676"/>
      <c r="M183" s="1676"/>
      <c r="N183" s="1168"/>
      <c r="O183" s="1168"/>
      <c r="P183" s="1168"/>
      <c r="Q183" s="1168"/>
      <c r="R183" s="1676"/>
      <c r="S183" s="1168"/>
      <c r="T183" s="1168"/>
      <c r="U183" s="550"/>
      <c r="V183" s="1168"/>
      <c r="W183" s="1168"/>
      <c r="X183" s="1168"/>
      <c r="Y183" s="1168"/>
      <c r="Z183" s="1168"/>
      <c r="AA183" s="1672"/>
      <c r="AB183" s="572"/>
      <c r="AC183" s="572"/>
      <c r="AD183" s="572"/>
      <c r="AE183" s="572"/>
    </row>
    <row s="4068" customFormat="1" customHeight="1" ht="11.25">
      <c r="A184" s="994"/>
      <c r="B184" s="1676"/>
      <c r="C184" s="1676"/>
      <c r="D184" s="347"/>
      <c r="K184" s="1168"/>
      <c r="L184" s="1676"/>
      <c r="M184" s="1676"/>
      <c r="N184" s="1168"/>
      <c r="O184" s="1168"/>
      <c r="P184" s="1168"/>
      <c r="Q184" s="1168"/>
      <c r="R184" s="1676"/>
      <c r="S184" s="1168"/>
      <c r="T184" s="1168"/>
      <c r="U184" s="550"/>
      <c r="V184" s="1168"/>
      <c r="W184" s="1168"/>
      <c r="X184" s="1168"/>
      <c r="Y184" s="1168"/>
      <c r="Z184" s="1168"/>
      <c r="AA184" s="1672"/>
      <c r="AB184" s="572"/>
      <c r="AC184" s="572"/>
      <c r="AD184" s="572"/>
      <c r="AE184" s="572"/>
    </row>
    <row s="4068" customFormat="1" customHeight="1" ht="11.25">
      <c r="A185" s="994"/>
      <c r="B185" s="1676"/>
      <c r="C185" s="1676"/>
      <c r="D185" s="347"/>
      <c r="K185" s="1168"/>
      <c r="L185" s="1676"/>
      <c r="M185" s="1676"/>
      <c r="N185" s="1168"/>
      <c r="O185" s="1168"/>
      <c r="P185" s="1168"/>
      <c r="Q185" s="1168"/>
      <c r="R185" s="1676"/>
      <c r="S185" s="1168"/>
      <c r="T185" s="1168"/>
      <c r="U185" s="550"/>
      <c r="V185" s="1168"/>
      <c r="W185" s="1168"/>
      <c r="X185" s="1168"/>
      <c r="Y185" s="1168"/>
      <c r="Z185" s="1168"/>
      <c r="AA185" s="1672"/>
      <c r="AB185" s="572"/>
      <c r="AC185" s="572"/>
      <c r="AD185" s="572"/>
      <c r="AE185" s="572"/>
    </row>
    <row s="4068" customFormat="1" customHeight="1" ht="11.25">
      <c r="A186" s="994"/>
      <c r="B186" s="1676"/>
      <c r="C186" s="1676"/>
      <c r="D186" s="347"/>
      <c r="K186" s="1168"/>
      <c r="L186" s="1676"/>
      <c r="M186" s="1676"/>
      <c r="N186" s="1168"/>
      <c r="O186" s="1168"/>
      <c r="P186" s="1168"/>
      <c r="Q186" s="1168"/>
      <c r="R186" s="1676"/>
      <c r="S186" s="1168"/>
      <c r="T186" s="1168"/>
      <c r="U186" s="550"/>
      <c r="V186" s="1168"/>
      <c r="W186" s="1168"/>
      <c r="X186" s="1168"/>
      <c r="Y186" s="1168"/>
      <c r="Z186" s="1168"/>
      <c r="AA186" s="1672"/>
      <c r="AB186" s="572"/>
      <c r="AC186" s="572"/>
      <c r="AD186" s="572"/>
      <c r="AE186" s="572"/>
    </row>
    <row s="4068" customFormat="1" customHeight="1" ht="11.25">
      <c r="A187" s="994"/>
      <c r="B187" s="1676"/>
      <c r="C187" s="1676"/>
      <c r="D187" s="347"/>
      <c r="K187" s="1168"/>
      <c r="L187" s="1676"/>
      <c r="M187" s="1676"/>
      <c r="N187" s="1168"/>
      <c r="O187" s="1168"/>
      <c r="P187" s="1168"/>
      <c r="Q187" s="1168"/>
      <c r="R187" s="1676"/>
      <c r="S187" s="1168"/>
      <c r="T187" s="1168"/>
      <c r="U187" s="550"/>
      <c r="V187" s="1168"/>
      <c r="W187" s="1168"/>
      <c r="X187" s="1168"/>
      <c r="Y187" s="1168"/>
      <c r="Z187" s="1168"/>
      <c r="AA187" s="1672"/>
      <c r="AB187" s="572"/>
      <c r="AC187" s="572"/>
      <c r="AD187" s="572"/>
      <c r="AE187" s="572"/>
    </row>
    <row s="4068" customFormat="1" customHeight="1" ht="11.25">
      <c r="A188" s="994"/>
      <c r="B188" s="1676"/>
      <c r="C188" s="1676"/>
      <c r="D188" s="347"/>
      <c r="K188" s="1168"/>
      <c r="L188" s="1676"/>
      <c r="M188" s="1676"/>
      <c r="N188" s="1168"/>
      <c r="O188" s="1168"/>
      <c r="P188" s="1168"/>
      <c r="Q188" s="1168"/>
      <c r="R188" s="1676"/>
      <c r="S188" s="1168"/>
      <c r="T188" s="1168"/>
      <c r="U188" s="550"/>
      <c r="V188" s="1168"/>
      <c r="W188" s="1168"/>
      <c r="X188" s="1168"/>
      <c r="Y188" s="1168"/>
      <c r="Z188" s="1168"/>
      <c r="AA188" s="1672"/>
      <c r="AB188" s="572"/>
      <c r="AC188" s="572"/>
      <c r="AD188" s="572"/>
      <c r="AE188" s="572"/>
    </row>
    <row s="4068" customFormat="1" customHeight="1" ht="11.25">
      <c r="A189" s="994"/>
      <c r="B189" s="1676"/>
      <c r="C189" s="1676"/>
      <c r="D189" s="347"/>
      <c r="K189" s="1168"/>
      <c r="L189" s="1676"/>
      <c r="M189" s="1676"/>
      <c r="N189" s="1168"/>
      <c r="O189" s="1168"/>
      <c r="P189" s="1168"/>
      <c r="Q189" s="1168"/>
      <c r="R189" s="1676"/>
      <c r="S189" s="1168"/>
      <c r="T189" s="1168"/>
      <c r="U189" s="550"/>
      <c r="V189" s="1168"/>
      <c r="W189" s="1168"/>
      <c r="X189" s="1168"/>
      <c r="Y189" s="1168"/>
      <c r="Z189" s="1168"/>
      <c r="AA189" s="1672"/>
      <c r="AB189" s="572"/>
      <c r="AC189" s="572"/>
      <c r="AD189" s="572"/>
      <c r="AE189" s="572"/>
    </row>
    <row s="4068" customFormat="1" customHeight="1" ht="11.25">
      <c r="A190" s="994"/>
      <c r="B190" s="1676"/>
      <c r="C190" s="1676"/>
      <c r="D190" s="347"/>
      <c r="K190" s="1168"/>
      <c r="L190" s="1676"/>
      <c r="M190" s="1676"/>
      <c r="N190" s="1168"/>
      <c r="O190" s="1168"/>
      <c r="P190" s="1168"/>
      <c r="Q190" s="1168"/>
      <c r="R190" s="1676"/>
      <c r="S190" s="1168"/>
      <c r="T190" s="1168"/>
      <c r="U190" s="550"/>
      <c r="V190" s="1168"/>
      <c r="W190" s="1168"/>
      <c r="X190" s="1168"/>
      <c r="Y190" s="1168"/>
      <c r="Z190" s="1168"/>
      <c r="AA190" s="1672"/>
      <c r="AB190" s="572"/>
      <c r="AC190" s="572"/>
      <c r="AD190" s="572"/>
      <c r="AE190" s="572"/>
    </row>
    <row s="4068" customFormat="1" customHeight="1" ht="11.25">
      <c r="A191" s="994"/>
      <c r="B191" s="1676"/>
      <c r="C191" s="1676"/>
      <c r="D191" s="347"/>
      <c r="K191" s="1168"/>
      <c r="L191" s="1676"/>
      <c r="M191" s="1676"/>
      <c r="N191" s="1168"/>
      <c r="O191" s="1168"/>
      <c r="P191" s="1168"/>
      <c r="Q191" s="1168"/>
      <c r="R191" s="1676"/>
      <c r="S191" s="1168"/>
      <c r="T191" s="1168"/>
      <c r="U191" s="550"/>
      <c r="V191" s="1168"/>
      <c r="W191" s="1168"/>
      <c r="X191" s="1168"/>
      <c r="Y191" s="1168"/>
      <c r="Z191" s="1168"/>
      <c r="AA191" s="1672"/>
      <c r="AB191" s="572"/>
      <c r="AC191" s="572"/>
      <c r="AD191" s="572"/>
      <c r="AE191" s="572"/>
    </row>
    <row s="4068" customFormat="1" customHeight="1" ht="11.25">
      <c r="A192" s="994"/>
      <c r="B192" s="1676"/>
      <c r="C192" s="1676"/>
      <c r="D192" s="347"/>
      <c r="K192" s="1168"/>
      <c r="L192" s="1676"/>
      <c r="M192" s="1676"/>
      <c r="N192" s="1168"/>
      <c r="O192" s="1168"/>
      <c r="P192" s="1168"/>
      <c r="Q192" s="1168"/>
      <c r="R192" s="1676"/>
      <c r="S192" s="1168"/>
      <c r="T192" s="1168"/>
      <c r="U192" s="550"/>
      <c r="V192" s="1168"/>
      <c r="W192" s="1168"/>
      <c r="X192" s="1168"/>
      <c r="Y192" s="1168"/>
      <c r="Z192" s="1168"/>
      <c r="AA192" s="1672"/>
      <c r="AB192" s="572"/>
      <c r="AC192" s="572"/>
      <c r="AD192" s="572"/>
      <c r="AE192" s="572"/>
    </row>
    <row s="4068" customFormat="1" customHeight="1" ht="11.25">
      <c r="A193" s="994"/>
      <c r="B193" s="1676"/>
      <c r="C193" s="1676"/>
      <c r="D193" s="347"/>
      <c r="K193" s="1168"/>
      <c r="L193" s="1676"/>
      <c r="M193" s="1676"/>
      <c r="N193" s="1168"/>
      <c r="O193" s="1168"/>
      <c r="P193" s="1168"/>
      <c r="Q193" s="1168"/>
      <c r="R193" s="1676"/>
      <c r="S193" s="1168"/>
      <c r="T193" s="1168"/>
      <c r="U193" s="550"/>
      <c r="V193" s="1168"/>
      <c r="W193" s="1168"/>
      <c r="X193" s="1168"/>
      <c r="Y193" s="1168"/>
      <c r="Z193" s="1168"/>
      <c r="AA193" s="1672"/>
      <c r="AB193" s="572"/>
      <c r="AC193" s="572"/>
      <c r="AD193" s="572"/>
      <c r="AE193" s="572"/>
    </row>
    <row s="4068" customFormat="1" customHeight="1" ht="11.25">
      <c r="A194" s="994"/>
      <c r="B194" s="1676"/>
      <c r="C194" s="1676"/>
      <c r="D194" s="347"/>
      <c r="K194" s="1168"/>
      <c r="L194" s="1676"/>
      <c r="M194" s="1676"/>
      <c r="N194" s="1168"/>
      <c r="O194" s="1168"/>
      <c r="P194" s="1168"/>
      <c r="Q194" s="1168"/>
      <c r="R194" s="1676"/>
      <c r="S194" s="1168"/>
      <c r="T194" s="1168"/>
      <c r="U194" s="550"/>
      <c r="V194" s="1168"/>
      <c r="W194" s="1168"/>
      <c r="X194" s="1168"/>
      <c r="Y194" s="1168"/>
      <c r="Z194" s="1168"/>
      <c r="AA194" s="1672"/>
      <c r="AB194" s="572"/>
      <c r="AC194" s="572"/>
      <c r="AD194" s="572"/>
      <c r="AE194" s="572"/>
    </row>
    <row s="4068" customFormat="1" customHeight="1" ht="11.25">
      <c r="A195" s="994"/>
      <c r="B195" s="1676"/>
      <c r="C195" s="1676"/>
      <c r="D195" s="347"/>
      <c r="K195" s="1168"/>
      <c r="L195" s="1676"/>
      <c r="M195" s="1676"/>
      <c r="N195" s="1168"/>
      <c r="O195" s="1168"/>
      <c r="P195" s="1168"/>
      <c r="Q195" s="1168"/>
      <c r="R195" s="1676"/>
      <c r="S195" s="1168"/>
      <c r="T195" s="1168"/>
      <c r="U195" s="550"/>
      <c r="V195" s="1168"/>
      <c r="W195" s="1168"/>
      <c r="X195" s="1168"/>
      <c r="Y195" s="1168"/>
      <c r="Z195" s="1168"/>
      <c r="AA195" s="1672"/>
      <c r="AB195" s="572"/>
      <c r="AC195" s="572"/>
      <c r="AD195" s="572"/>
      <c r="AE195" s="572"/>
    </row>
    <row s="4068" customFormat="1" customHeight="1" ht="11.25">
      <c r="A196" s="994"/>
      <c r="B196" s="1676"/>
      <c r="C196" s="1676"/>
      <c r="D196" s="347"/>
      <c r="K196" s="1168"/>
      <c r="L196" s="1676"/>
      <c r="M196" s="1676"/>
      <c r="N196" s="1168"/>
      <c r="O196" s="1168"/>
      <c r="P196" s="1168"/>
      <c r="Q196" s="1168"/>
      <c r="R196" s="1676"/>
      <c r="S196" s="1168"/>
      <c r="T196" s="1168"/>
      <c r="U196" s="550"/>
      <c r="V196" s="1168"/>
      <c r="W196" s="1168"/>
      <c r="X196" s="1168"/>
      <c r="Y196" s="1168"/>
      <c r="Z196" s="1168"/>
      <c r="AA196" s="1672"/>
      <c r="AB196" s="572"/>
      <c r="AC196" s="572"/>
      <c r="AD196" s="572"/>
      <c r="AE196" s="572"/>
    </row>
    <row s="4068" customFormat="1" customHeight="1" ht="11.25">
      <c r="A197" s="994"/>
      <c r="B197" s="1676"/>
      <c r="C197" s="1676"/>
      <c r="D197" s="347"/>
      <c r="K197" s="1168"/>
      <c r="L197" s="1676"/>
      <c r="M197" s="1676"/>
      <c r="N197" s="1168"/>
      <c r="O197" s="1168"/>
      <c r="P197" s="1168"/>
      <c r="Q197" s="1168"/>
      <c r="R197" s="1676"/>
      <c r="S197" s="1168"/>
      <c r="T197" s="1168"/>
      <c r="U197" s="550"/>
      <c r="V197" s="1168"/>
      <c r="W197" s="1168"/>
      <c r="X197" s="1168"/>
      <c r="Y197" s="1168"/>
      <c r="Z197" s="1168"/>
      <c r="AA197" s="1672"/>
      <c r="AB197" s="572"/>
      <c r="AC197" s="572"/>
      <c r="AD197" s="572"/>
      <c r="AE197" s="572"/>
    </row>
    <row s="4068" customFormat="1" customHeight="1" ht="11.25">
      <c r="A198" s="994"/>
      <c r="B198" s="1676"/>
      <c r="C198" s="1676"/>
      <c r="D198" s="347"/>
      <c r="K198" s="1168"/>
      <c r="L198" s="1676"/>
      <c r="M198" s="1676"/>
      <c r="N198" s="1168"/>
      <c r="O198" s="1168"/>
      <c r="P198" s="1168"/>
      <c r="Q198" s="1168"/>
      <c r="R198" s="1676"/>
      <c r="S198" s="1168"/>
      <c r="T198" s="1168"/>
      <c r="U198" s="550"/>
      <c r="V198" s="1168"/>
      <c r="W198" s="1168"/>
      <c r="X198" s="1168"/>
      <c r="Y198" s="1168"/>
      <c r="Z198" s="1168"/>
      <c r="AA198" s="1672"/>
      <c r="AB198" s="572"/>
      <c r="AC198" s="572"/>
      <c r="AD198" s="572"/>
      <c r="AE198" s="572"/>
    </row>
    <row s="4068" customFormat="1" customHeight="1" ht="11.25">
      <c r="A199" s="994"/>
      <c r="B199" s="1676"/>
      <c r="C199" s="1676"/>
      <c r="D199" s="347"/>
      <c r="K199" s="1168"/>
      <c r="L199" s="1676"/>
      <c r="M199" s="1676"/>
      <c r="N199" s="1168"/>
      <c r="O199" s="1168"/>
      <c r="P199" s="1168"/>
      <c r="Q199" s="1168"/>
      <c r="R199" s="1676"/>
      <c r="S199" s="1168"/>
      <c r="T199" s="1168"/>
      <c r="U199" s="550"/>
      <c r="V199" s="1168"/>
      <c r="W199" s="1168"/>
      <c r="X199" s="1168"/>
      <c r="Y199" s="1168"/>
      <c r="Z199" s="1168"/>
      <c r="AA199" s="1672"/>
      <c r="AB199" s="572"/>
      <c r="AC199" s="572"/>
      <c r="AD199" s="572"/>
      <c r="AE199" s="572"/>
    </row>
    <row s="4068" customFormat="1" customHeight="1" ht="11.25">
      <c r="A200" s="994"/>
      <c r="B200" s="1676"/>
      <c r="C200" s="1676"/>
      <c r="D200" s="347"/>
      <c r="K200" s="1168"/>
      <c r="L200" s="1676"/>
      <c r="M200" s="1676"/>
      <c r="N200" s="1168"/>
      <c r="O200" s="1168"/>
      <c r="P200" s="1168"/>
      <c r="Q200" s="1168"/>
      <c r="R200" s="1676"/>
      <c r="S200" s="1168"/>
      <c r="T200" s="1168"/>
      <c r="U200" s="550"/>
      <c r="V200" s="1168"/>
      <c r="W200" s="1168"/>
      <c r="X200" s="1168"/>
      <c r="Y200" s="1168"/>
      <c r="Z200" s="1168"/>
      <c r="AA200" s="1672"/>
      <c r="AB200" s="572"/>
      <c r="AC200" s="572"/>
      <c r="AD200" s="572"/>
      <c r="AE200" s="572"/>
    </row>
    <row s="4068" customFormat="1" customHeight="1" ht="11.25">
      <c r="A201" s="994"/>
      <c r="B201" s="1676"/>
      <c r="C201" s="1676"/>
      <c r="D201" s="347"/>
      <c r="K201" s="1168"/>
      <c r="L201" s="1676"/>
      <c r="M201" s="1676"/>
      <c r="N201" s="1168"/>
      <c r="O201" s="1168"/>
      <c r="P201" s="1168"/>
      <c r="Q201" s="1168"/>
      <c r="R201" s="1676"/>
      <c r="S201" s="1168"/>
      <c r="T201" s="1168"/>
      <c r="U201" s="550"/>
      <c r="V201" s="1168"/>
      <c r="W201" s="1168"/>
      <c r="X201" s="1168"/>
      <c r="Y201" s="1168"/>
      <c r="Z201" s="1168"/>
      <c r="AA201" s="1672"/>
      <c r="AB201" s="572"/>
      <c r="AC201" s="572"/>
      <c r="AD201" s="572"/>
      <c r="AE201" s="572"/>
    </row>
    <row s="4068" customFormat="1" customHeight="1" ht="11.25">
      <c r="A202" s="994"/>
      <c r="B202" s="1676"/>
      <c r="C202" s="1676"/>
      <c r="D202" s="347"/>
      <c r="K202" s="1168"/>
      <c r="L202" s="1676"/>
      <c r="M202" s="1676"/>
      <c r="N202" s="1168"/>
      <c r="O202" s="1168"/>
      <c r="P202" s="1168"/>
      <c r="Q202" s="1168"/>
      <c r="R202" s="1676"/>
      <c r="S202" s="1168"/>
      <c r="T202" s="1168"/>
      <c r="U202" s="550"/>
      <c r="V202" s="1168"/>
      <c r="W202" s="1168"/>
      <c r="X202" s="1168"/>
      <c r="Y202" s="1168"/>
      <c r="Z202" s="1168"/>
      <c r="AA202" s="1672"/>
      <c r="AB202" s="572"/>
      <c r="AC202" s="572"/>
      <c r="AD202" s="572"/>
      <c r="AE202" s="572"/>
    </row>
    <row s="4068" customFormat="1" customHeight="1" ht="11.25">
      <c r="A203" s="994"/>
      <c r="B203" s="1676"/>
      <c r="C203" s="1676"/>
      <c r="D203" s="347"/>
      <c r="K203" s="1168"/>
      <c r="L203" s="1676"/>
      <c r="M203" s="1676"/>
      <c r="N203" s="1168"/>
      <c r="O203" s="1168"/>
      <c r="P203" s="1168"/>
      <c r="Q203" s="1168"/>
      <c r="R203" s="1676"/>
      <c r="S203" s="1168"/>
      <c r="T203" s="1168"/>
      <c r="U203" s="550"/>
      <c r="V203" s="1168"/>
      <c r="W203" s="1168"/>
      <c r="X203" s="1168"/>
      <c r="Y203" s="1168"/>
      <c r="Z203" s="1168"/>
      <c r="AA203" s="1672"/>
      <c r="AB203" s="572"/>
      <c r="AC203" s="572"/>
      <c r="AD203" s="572"/>
      <c r="AE203" s="572"/>
    </row>
    <row s="4068" customFormat="1" customHeight="1" ht="11.25">
      <c r="A204" s="994"/>
      <c r="B204" s="1676"/>
      <c r="C204" s="1676"/>
      <c r="D204" s="347"/>
      <c r="K204" s="1168"/>
      <c r="L204" s="1676"/>
      <c r="M204" s="1676"/>
      <c r="N204" s="1168"/>
      <c r="O204" s="1168"/>
      <c r="P204" s="1168"/>
      <c r="Q204" s="1168"/>
      <c r="R204" s="1676"/>
      <c r="S204" s="1168"/>
      <c r="T204" s="1168"/>
      <c r="U204" s="550"/>
      <c r="V204" s="1168"/>
      <c r="W204" s="1168"/>
      <c r="X204" s="1168"/>
      <c r="Y204" s="1168"/>
      <c r="Z204" s="1168"/>
      <c r="AA204" s="1672"/>
      <c r="AB204" s="572"/>
      <c r="AC204" s="572"/>
      <c r="AD204" s="572"/>
      <c r="AE204" s="572"/>
    </row>
    <row r="208" customHeight="1" ht="11.25">
      <c r="A208" s="997"/>
      <c r="B208" s="1671"/>
      <c r="D208" s="1671"/>
      <c r="K208" s="1671"/>
      <c r="N208" s="1671"/>
      <c r="O208" s="1671"/>
      <c r="P208" s="1671"/>
      <c r="Q208" s="1671"/>
      <c r="S208" s="1671"/>
      <c r="T208" s="1671"/>
      <c r="U208" s="1671"/>
      <c r="V208" s="1671"/>
      <c r="W208" s="1671"/>
      <c r="X208" s="1671"/>
      <c r="Y208" s="1671"/>
      <c r="Z208" s="1671"/>
      <c r="AA208" s="1671"/>
      <c r="AB208" s="1671"/>
      <c r="AC208" s="1671"/>
      <c r="AD208" s="1671"/>
      <c r="AE208" s="1671"/>
    </row>
    <row customHeight="1" ht="11.25">
      <c r="A209" s="997"/>
      <c r="B209" s="1671"/>
      <c r="D209" s="1671"/>
      <c r="K209" s="1671"/>
      <c r="N209" s="1671"/>
      <c r="O209" s="1671"/>
      <c r="P209" s="1671"/>
      <c r="Q209" s="1671"/>
      <c r="S209" s="1671"/>
      <c r="T209" s="1671"/>
      <c r="U209" s="1671"/>
      <c r="V209" s="1671"/>
      <c r="W209" s="1671"/>
      <c r="X209" s="1671"/>
      <c r="Y209" s="1671"/>
      <c r="Z209" s="1671"/>
      <c r="AA209" s="1671"/>
      <c r="AB209" s="1671"/>
      <c r="AC209" s="1671"/>
      <c r="AD209" s="1671"/>
      <c r="AE209" s="1671"/>
    </row>
    <row customHeight="1" ht="11.25">
      <c r="A210" s="997"/>
      <c r="B210" s="1671"/>
      <c r="D210" s="1671"/>
      <c r="K210" s="1671"/>
      <c r="N210" s="1671"/>
      <c r="O210" s="1671"/>
      <c r="P210" s="1671"/>
      <c r="Q210" s="1671"/>
      <c r="S210" s="1671"/>
      <c r="T210" s="1671"/>
      <c r="U210" s="1671"/>
      <c r="V210" s="1671"/>
      <c r="W210" s="1671"/>
      <c r="X210" s="1671"/>
      <c r="Y210" s="1671"/>
      <c r="Z210" s="1671"/>
      <c r="AA210" s="1671"/>
      <c r="AB210" s="1671"/>
      <c r="AC210" s="1671"/>
      <c r="AD210" s="1671"/>
      <c r="AE210" s="1671"/>
    </row>
    <row customHeight="1" ht="11.25">
      <c r="A211" s="997"/>
      <c r="B211" s="1671"/>
      <c r="D211" s="1671"/>
      <c r="K211" s="1671"/>
      <c r="N211" s="1671"/>
      <c r="O211" s="1671"/>
      <c r="P211" s="1671"/>
      <c r="Q211" s="1671"/>
      <c r="S211" s="1671"/>
      <c r="T211" s="1671"/>
      <c r="U211" s="1671"/>
      <c r="V211" s="1671"/>
      <c r="W211" s="1671"/>
      <c r="X211" s="1671"/>
      <c r="Y211" s="1671"/>
      <c r="Z211" s="1671"/>
      <c r="AA211" s="1671"/>
      <c r="AB211" s="1671"/>
      <c r="AC211" s="1671"/>
      <c r="AD211" s="1671"/>
      <c r="AE211" s="1671"/>
    </row>
    <row customHeight="1" ht="11.25">
      <c r="A212" s="997"/>
      <c r="B212" s="1671"/>
      <c r="D212" s="1671"/>
      <c r="K212" s="1671"/>
      <c r="N212" s="1671"/>
      <c r="O212" s="1671"/>
      <c r="P212" s="1671"/>
      <c r="Q212" s="1671"/>
      <c r="S212" s="1671"/>
      <c r="T212" s="1671"/>
      <c r="U212" s="1671"/>
      <c r="V212" s="1671"/>
      <c r="W212" s="1671"/>
      <c r="X212" s="1671"/>
      <c r="Y212" s="1671"/>
      <c r="Z212" s="1671"/>
      <c r="AA212" s="1671"/>
      <c r="AB212" s="1671"/>
      <c r="AC212" s="1671"/>
      <c r="AD212" s="1671"/>
      <c r="AE212" s="1671"/>
    </row>
    <row customHeight="1" ht="11.25">
      <c r="A213" s="997"/>
      <c r="B213" s="1671"/>
      <c r="D213" s="1671"/>
      <c r="K213" s="1671"/>
      <c r="N213" s="1671"/>
      <c r="O213" s="1671"/>
      <c r="P213" s="1671"/>
      <c r="Q213" s="1671"/>
      <c r="S213" s="1671"/>
      <c r="T213" s="1671"/>
      <c r="U213" s="1671"/>
      <c r="V213" s="1671"/>
      <c r="W213" s="1671"/>
      <c r="X213" s="1671"/>
      <c r="Y213" s="1671"/>
      <c r="Z213" s="1671"/>
      <c r="AA213" s="1671"/>
      <c r="AB213" s="1671"/>
      <c r="AC213" s="1671"/>
      <c r="AD213" s="1671"/>
      <c r="AE213" s="1671"/>
    </row>
    <row customHeight="1" ht="11.25">
      <c r="A214" s="997"/>
      <c r="B214" s="1671"/>
      <c r="D214" s="1671"/>
      <c r="K214" s="1671"/>
      <c r="N214" s="1671"/>
      <c r="O214" s="1671"/>
      <c r="P214" s="1671"/>
      <c r="Q214" s="1671"/>
      <c r="S214" s="1671"/>
      <c r="T214" s="1671"/>
      <c r="U214" s="1671"/>
      <c r="V214" s="1671"/>
      <c r="W214" s="1671"/>
      <c r="X214" s="1671"/>
      <c r="Y214" s="1671"/>
      <c r="Z214" s="1671"/>
      <c r="AA214" s="1671"/>
      <c r="AB214" s="1671"/>
      <c r="AC214" s="1671"/>
      <c r="AD214" s="1671"/>
      <c r="AE214" s="1671"/>
    </row>
    <row customHeight="1" ht="11.25">
      <c r="A215" s="997"/>
      <c r="B215" s="1671"/>
      <c r="D215" s="1671"/>
      <c r="K215" s="1671"/>
      <c r="N215" s="1671"/>
      <c r="O215" s="1671"/>
      <c r="P215" s="1671"/>
      <c r="Q215" s="1671"/>
      <c r="S215" s="1671"/>
      <c r="T215" s="1671"/>
      <c r="U215" s="1671"/>
      <c r="V215" s="1671"/>
      <c r="W215" s="1671"/>
      <c r="X215" s="1671"/>
      <c r="Y215" s="1671"/>
      <c r="Z215" s="1671"/>
      <c r="AA215" s="1671"/>
      <c r="AB215" s="1671"/>
      <c r="AC215" s="1671"/>
      <c r="AD215" s="1671"/>
      <c r="AE215" s="1671"/>
    </row>
    <row customHeight="1" ht="11.25">
      <c r="A216" s="997"/>
      <c r="B216" s="1671"/>
      <c r="D216" s="1671"/>
      <c r="K216" s="1671"/>
      <c r="N216" s="1671"/>
      <c r="O216" s="1671"/>
      <c r="P216" s="1671"/>
      <c r="Q216" s="1671"/>
      <c r="S216" s="1671"/>
      <c r="T216" s="1671"/>
      <c r="U216" s="1671"/>
      <c r="V216" s="1671"/>
      <c r="W216" s="1671"/>
      <c r="X216" s="1671"/>
      <c r="Y216" s="1671"/>
      <c r="Z216" s="1671"/>
      <c r="AA216" s="1671"/>
      <c r="AB216" s="1671"/>
      <c r="AC216" s="1671"/>
      <c r="AD216" s="1671"/>
      <c r="AE216" s="1671"/>
    </row>
    <row customHeight="1" ht="11.25">
      <c r="A217" s="997"/>
      <c r="B217" s="1671"/>
      <c r="D217" s="1671"/>
      <c r="K217" s="1671"/>
      <c r="N217" s="1671"/>
      <c r="O217" s="1671"/>
      <c r="P217" s="1671"/>
      <c r="Q217" s="1671"/>
      <c r="S217" s="1671"/>
      <c r="T217" s="1671"/>
      <c r="U217" s="1671"/>
      <c r="V217" s="1671"/>
      <c r="W217" s="1671"/>
      <c r="X217" s="1671"/>
      <c r="Y217" s="1671"/>
      <c r="Z217" s="1671"/>
      <c r="AA217" s="1671"/>
      <c r="AB217" s="1671"/>
      <c r="AC217" s="1671"/>
      <c r="AD217" s="1671"/>
      <c r="AE217" s="1671"/>
    </row>
    <row customHeight="1" ht="11.25">
      <c r="A218" s="997"/>
      <c r="B218" s="1671"/>
      <c r="D218" s="1671"/>
      <c r="K218" s="1671"/>
      <c r="N218" s="1671"/>
      <c r="O218" s="1671"/>
      <c r="P218" s="1671"/>
      <c r="Q218" s="1671"/>
      <c r="S218" s="1671"/>
      <c r="T218" s="1671"/>
      <c r="U218" s="1671"/>
      <c r="V218" s="1671"/>
      <c r="W218" s="1671"/>
      <c r="X218" s="1671"/>
      <c r="Y218" s="1671"/>
      <c r="Z218" s="1671"/>
      <c r="AA218" s="1671"/>
      <c r="AB218" s="1671"/>
      <c r="AC218" s="1671"/>
      <c r="AD218" s="1671"/>
      <c r="AE218" s="1671"/>
    </row>
  </sheetData>
  <sheetProtection formatColumns="0" formatRows="0" autoFilter="0" sort="0" insertRows="0" insertColumns="1" deleteRows="0" deleteColumns="0"/>
  <mergeCells count="9">
    <mergeCell ref="F48:J48"/>
    <mergeCell ref="F49:J49"/>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519E65-22AC-ECE8-5838-F569C22B4761}" mc:Ignorable="x14ac xr xr2 xr3">
  <sheetPr>
    <tabColor theme="9" tint="-0.25"/>
  </sheetPr>
  <dimension ref="A1:AE209"/>
  <sheetViews>
    <sheetView topLeftCell="A1" showGridLines="0" zoomScale="90" workbookViewId="0">
      <selection activeCell="A1" sqref="A1"/>
    </sheetView>
  </sheetViews>
  <sheetFormatPr defaultColWidth="9.140625" customHeight="1" defaultRowHeight="11.25"/>
  <cols>
    <col min="1" max="1" style="4041" width="10.7109375" hidden="1" customWidth="1"/>
    <col min="2" max="2" style="3293" width="16.8515625" hidden="1" customWidth="1"/>
    <col min="3" max="3" style="4032" width="5.57421875" hidden="1" customWidth="1"/>
    <col min="4" max="4" style="4144" width="3.7109375" customWidth="1"/>
    <col min="5" max="5" style="2950" width="7.7109375" customWidth="1"/>
    <col min="6" max="6" style="2950" width="54.57421875" customWidth="1"/>
    <col min="7" max="7" style="2950" width="10.421875" customWidth="1"/>
    <col min="8" max="8" style="2950" width="40.7109375" hidden="1" customWidth="1"/>
    <col min="9" max="9" style="2950" width="40.7109375" customWidth="1"/>
    <col min="10" max="10" style="2950" width="102.8515625" customWidth="1"/>
    <col min="11" max="11" style="3293" width="9.7109375" customWidth="1"/>
    <col min="12" max="12" style="4032" width="5.28125" customWidth="1"/>
    <col min="13" max="13" style="4032" width="3.7109375" customWidth="1"/>
    <col min="14" max="17" style="3293" width="3.7109375" customWidth="1"/>
    <col min="18" max="18" style="4032" width="10.57421875" customWidth="1"/>
    <col min="19" max="19" style="3293" width="34.7109375" customWidth="1"/>
    <col min="20" max="20" style="3293" width="9.421875" customWidth="1"/>
    <col min="21" max="21" style="4045" width="9.140625"/>
    <col min="22" max="26" style="3293" width="9.140625"/>
    <col min="27" max="31" style="2949" width="9.140625"/>
  </cols>
  <sheetData>
    <row s="3293" customFormat="1" customHeight="1" ht="11.25" hidden="1">
      <c r="A1" s="994"/>
      <c r="C1" s="1676"/>
      <c r="D1" s="543"/>
      <c r="H1" s="1168">
        <v>4</v>
      </c>
      <c r="I1" s="1168">
        <v>4</v>
      </c>
      <c r="L1" s="1676"/>
      <c r="M1" s="1676"/>
      <c r="R1" s="1676"/>
    </row>
    <row s="3293" customFormat="1" customHeight="1" ht="22.5" hidden="1">
      <c r="A2" s="994"/>
      <c r="C2" s="1676"/>
      <c r="D2" s="544"/>
      <c r="E2" s="1698"/>
      <c r="F2" s="546"/>
      <c r="G2" s="1697" t="s">
        <v>539</v>
      </c>
      <c r="H2" s="547"/>
      <c r="I2" s="547"/>
      <c r="J2" s="548" t="s">
        <v>542</v>
      </c>
      <c r="K2" s="549"/>
      <c r="L2" s="1676"/>
      <c r="M2" s="1676"/>
      <c r="R2" s="1676"/>
      <c r="U2" s="550"/>
      <c r="AA2" s="1672"/>
      <c r="AB2" s="1672"/>
      <c r="AC2" s="1672"/>
      <c r="AD2" s="1672"/>
      <c r="AE2" s="1672"/>
    </row>
    <row customHeight="1" ht="11.25" hidden="1"/>
    <row s="2949" customFormat="1" customHeight="1" ht="11.25" hidden="1">
      <c r="A4" s="994"/>
      <c r="B4" s="1168"/>
      <c r="C4" s="1676"/>
      <c r="D4" s="360"/>
      <c r="J4" s="1672">
        <v>4</v>
      </c>
      <c r="K4" s="1168"/>
      <c r="L4" s="1676"/>
      <c r="M4" s="1676"/>
      <c r="N4" s="1168"/>
      <c r="O4" s="1168"/>
      <c r="P4" s="1168"/>
      <c r="Q4" s="1168"/>
      <c r="R4" s="1676"/>
      <c r="S4" s="1168"/>
      <c r="T4" s="1168"/>
      <c r="U4" s="550"/>
      <c r="V4" s="1168"/>
      <c r="W4" s="1168"/>
      <c r="X4" s="1168"/>
      <c r="Y4" s="1168"/>
      <c r="Z4" s="1168"/>
    </row>
    <row r="6" customHeight="1" ht="32.25">
      <c r="E6" s="2140" t="s">
        <v>676</v>
      </c>
      <c r="F6" s="2140"/>
      <c r="G6" s="2140"/>
      <c r="H6" s="2140"/>
      <c r="I6" s="2140"/>
      <c r="J6" s="562"/>
    </row>
    <row customHeight="1" ht="24">
      <c r="E7" s="2141" t="str">
        <f>IF(org=0,"Не определено",org)</f>
        <v>МУП г. Азова "Теплоэнерго"</v>
      </c>
      <c r="F7" s="2141"/>
      <c r="G7" s="2141"/>
      <c r="H7" s="2141"/>
      <c r="I7" s="2141"/>
    </row>
    <row customHeight="1" ht="11.25">
      <c r="E8" s="1143"/>
      <c r="F8" s="1143"/>
      <c r="G8" s="1143"/>
      <c r="H8" s="1143"/>
      <c r="I8" s="1143"/>
    </row>
    <row s="4032" customFormat="1" customHeight="1" ht="0.75">
      <c r="A9" s="1175"/>
      <c r="D9" s="1682"/>
      <c r="H9" s="895"/>
      <c r="I9" s="895" t="s">
        <v>116</v>
      </c>
    </row>
    <row customHeight="1" ht="11.25">
      <c r="E10" s="717"/>
      <c r="F10" s="2213" t="s">
        <v>104</v>
      </c>
      <c r="G10" s="2214"/>
      <c r="H10" s="1699" t="str">
        <f>IF(H9="","",INDEX(DIFFERENTIATION_UNMERGE_VD,MATCH(H9,DIFFERENTIATION_ID_DIFF,0)))</f>
        <v/>
      </c>
      <c r="I10" s="1699">
        <f>IF(I9="","",INDEX(DIFFERENTIATION_UNMERGE_VD,MATCH(I9,DIFFERENTIATION_ID_DIFF,0)))</f>
        <v>0</v>
      </c>
      <c r="J10" s="1971"/>
    </row>
    <row customHeight="1" ht="11.25">
      <c r="E11" s="717"/>
      <c r="F11" s="2213" t="s">
        <v>551</v>
      </c>
      <c r="G11" s="2214"/>
      <c r="H11" s="1699" t="str">
        <f>IF(H9="","",INDEX(DIFFERENTIATION_UNMERGE_AREA,MATCH(H9,DIFFERENTIATION_ID_DIFF,0)))</f>
        <v/>
      </c>
      <c r="I11" s="1699" t="str">
        <f>IF(I9="","",INDEX(DIFFERENTIATION_UNMERGE_AREA,MATCH(I9,DIFFERENTIATION_ID_DIFF,0)))</f>
        <v/>
      </c>
      <c r="J11" s="1971"/>
    </row>
    <row customHeight="1" ht="11.25" hidden="1">
      <c r="E12" s="1702"/>
      <c r="F12" s="2228" t="s">
        <v>552</v>
      </c>
      <c r="G12" s="2229"/>
      <c r="H12" s="1703" t="str">
        <f>IF(H9="","",INDEX(DIFFERENTIATION_UNMERGE_SYSTEM,MATCH(H9,DIFFERENTIATION_ID_DIFF,0)))</f>
        <v/>
      </c>
      <c r="I12" s="1703" t="str">
        <f>IF(I9="","",INDEX(DIFFERENTIATION_UNMERGE_SYSTEM,MATCH(I9,DIFFERENTIATION_ID_DIFF,0)))</f>
        <v>без дифференциации</v>
      </c>
      <c r="J12" s="1971"/>
    </row>
    <row customHeight="1" ht="11.25">
      <c r="E13" s="2215" t="s">
        <v>291</v>
      </c>
      <c r="F13" s="2216"/>
      <c r="G13" s="2216"/>
      <c r="H13" s="1696"/>
      <c r="I13" s="1696"/>
      <c r="J13" s="1971"/>
    </row>
    <row customHeight="1" ht="22.5">
      <c r="E14" s="1697" t="s">
        <v>87</v>
      </c>
      <c r="F14" s="1700" t="s">
        <v>293</v>
      </c>
      <c r="G14" s="1700" t="s">
        <v>553</v>
      </c>
      <c r="H14" s="1700" t="s">
        <v>294</v>
      </c>
      <c r="I14" s="1700" t="s">
        <v>294</v>
      </c>
      <c r="J14" s="1971"/>
    </row>
    <row customHeight="1" ht="18.75">
      <c r="D15" s="1678"/>
      <c r="E15" s="1670" t="s">
        <v>108</v>
      </c>
      <c r="F15" s="713" t="s">
        <v>677</v>
      </c>
      <c r="G15" s="1697" t="s">
        <v>539</v>
      </c>
      <c r="H15" s="563"/>
      <c r="I15" s="563"/>
      <c r="J15" s="277" t="s">
        <v>678</v>
      </c>
      <c r="K15" s="549" t="s">
        <v>606</v>
      </c>
    </row>
    <row customHeight="1" ht="22.5">
      <c r="D16" s="1678"/>
      <c r="E16" s="1670" t="s">
        <v>109</v>
      </c>
      <c r="F16" s="1705" t="s">
        <v>679</v>
      </c>
      <c r="G16" s="1697" t="s">
        <v>539</v>
      </c>
      <c r="H16" s="564">
        <f>SUM(H17,H20:H27)</f>
        <v>0</v>
      </c>
      <c r="I16" s="564">
        <f>SUM(I17,I20:I27)</f>
        <v>0</v>
      </c>
      <c r="J16" s="277" t="s">
        <v>680</v>
      </c>
      <c r="K16" s="549" t="s">
        <v>606</v>
      </c>
    </row>
    <row customHeight="1" ht="33.75">
      <c r="D17" s="1678"/>
      <c r="E17" s="1704" t="s">
        <v>609</v>
      </c>
      <c r="F17" s="1707" t="s">
        <v>681</v>
      </c>
      <c r="G17" s="1694" t="s">
        <v>539</v>
      </c>
      <c r="H17" s="563"/>
      <c r="I17" s="563"/>
      <c r="J17" s="277" t="s">
        <v>682</v>
      </c>
      <c r="K17" s="549"/>
    </row>
    <row customHeight="1" ht="18.75">
      <c r="D18" s="1678"/>
      <c r="E18" s="1704" t="s">
        <v>612</v>
      </c>
      <c r="F18" s="1708" t="s">
        <v>683</v>
      </c>
      <c r="G18" s="1694" t="s">
        <v>539</v>
      </c>
      <c r="H18" s="563"/>
      <c r="I18" s="563"/>
      <c r="J18" s="277"/>
      <c r="K18" s="549"/>
    </row>
    <row customHeight="1" ht="22.5">
      <c r="D19" s="1678"/>
      <c r="E19" s="1704" t="s">
        <v>615</v>
      </c>
      <c r="F19" s="1708" t="s">
        <v>684</v>
      </c>
      <c r="G19" s="1694" t="s">
        <v>539</v>
      </c>
      <c r="H19" s="563"/>
      <c r="I19" s="563"/>
      <c r="J19" s="277"/>
      <c r="K19" s="549"/>
    </row>
    <row customHeight="1" ht="33.75">
      <c r="D20" s="1678"/>
      <c r="E20" s="1704" t="s">
        <v>298</v>
      </c>
      <c r="F20" s="1707" t="s">
        <v>685</v>
      </c>
      <c r="G20" s="1694" t="s">
        <v>539</v>
      </c>
      <c r="H20" s="563"/>
      <c r="I20" s="563"/>
      <c r="J20" s="277"/>
      <c r="K20" s="549"/>
    </row>
    <row customHeight="1" ht="33.75">
      <c r="D21" s="1678"/>
      <c r="E21" s="1704" t="s">
        <v>301</v>
      </c>
      <c r="F21" s="1707" t="s">
        <v>686</v>
      </c>
      <c r="G21" s="1694" t="s">
        <v>539</v>
      </c>
      <c r="H21" s="563"/>
      <c r="I21" s="563"/>
      <c r="J21" s="277"/>
      <c r="K21" s="549"/>
    </row>
    <row customHeight="1" ht="56.25">
      <c r="D22" s="1678"/>
      <c r="E22" s="1704" t="s">
        <v>629</v>
      </c>
      <c r="F22" s="1707" t="s">
        <v>687</v>
      </c>
      <c r="G22" s="1694" t="s">
        <v>539</v>
      </c>
      <c r="H22" s="563"/>
      <c r="I22" s="563"/>
      <c r="J22" s="277"/>
      <c r="K22" s="549"/>
    </row>
    <row customHeight="1" ht="33.75">
      <c r="D23" s="1678"/>
      <c r="E23" s="1704" t="s">
        <v>636</v>
      </c>
      <c r="F23" s="1707" t="s">
        <v>688</v>
      </c>
      <c r="G23" s="1694" t="s">
        <v>539</v>
      </c>
      <c r="H23" s="563"/>
      <c r="I23" s="563"/>
      <c r="J23" s="277"/>
      <c r="K23" s="549"/>
    </row>
    <row customHeight="1" ht="33.75">
      <c r="D24" s="1678"/>
      <c r="E24" s="1704" t="s">
        <v>638</v>
      </c>
      <c r="F24" s="1707" t="s">
        <v>689</v>
      </c>
      <c r="G24" s="1694" t="s">
        <v>539</v>
      </c>
      <c r="H24" s="563"/>
      <c r="I24" s="563"/>
      <c r="J24" s="277"/>
      <c r="K24" s="549"/>
    </row>
    <row customHeight="1" ht="22.5">
      <c r="D25" s="1678"/>
      <c r="E25" s="1704" t="s">
        <v>640</v>
      </c>
      <c r="F25" s="1707" t="s">
        <v>690</v>
      </c>
      <c r="G25" s="1694" t="s">
        <v>539</v>
      </c>
      <c r="H25" s="563"/>
      <c r="I25" s="563"/>
      <c r="J25" s="277"/>
      <c r="K25" s="549"/>
    </row>
    <row customHeight="1" ht="67.5">
      <c r="D26" s="1678"/>
      <c r="E26" s="1704" t="s">
        <v>642</v>
      </c>
      <c r="F26" s="1707" t="s">
        <v>691</v>
      </c>
      <c r="G26" s="1694" t="s">
        <v>539</v>
      </c>
      <c r="H26" s="563"/>
      <c r="I26" s="563"/>
      <c r="J26" s="277"/>
      <c r="K26" s="549"/>
    </row>
    <row s="3293" customFormat="1" customHeight="1" ht="22.5">
      <c r="A27" s="994"/>
      <c r="C27" s="1676"/>
      <c r="D27" s="1678"/>
      <c r="E27" s="1669" t="s">
        <v>646</v>
      </c>
      <c r="F27" s="1668" t="s">
        <v>692</v>
      </c>
      <c r="G27" s="1695" t="s">
        <v>539</v>
      </c>
      <c r="H27" s="585">
        <f>SUM(H28:H29)</f>
        <v>0</v>
      </c>
      <c r="I27" s="585">
        <f>SUM(I28:I29)</f>
        <v>0</v>
      </c>
      <c r="J27" s="277" t="s">
        <v>644</v>
      </c>
      <c r="K27" s="549"/>
      <c r="L27" s="1676"/>
      <c r="M27" s="1676"/>
      <c r="R27" s="1676"/>
      <c r="U27" s="550"/>
      <c r="AA27" s="1672"/>
      <c r="AB27" s="1672"/>
      <c r="AC27" s="1672"/>
      <c r="AD27" s="1672"/>
      <c r="AE27" s="1672"/>
    </row>
    <row s="4032" customFormat="1" customHeight="1" ht="0.75">
      <c r="A28" s="1175"/>
      <c r="D28" s="554"/>
      <c r="E28" s="808" t="str">
        <f>E27&amp;".0"</f>
        <v>2.9.0</v>
      </c>
      <c r="F28" s="998"/>
      <c r="G28" s="557"/>
      <c r="H28" s="999"/>
      <c r="I28" s="999"/>
      <c r="J28" s="1000"/>
    </row>
    <row s="3293" customFormat="1" customHeight="1" ht="18.75">
      <c r="A29" s="994"/>
      <c r="C29" s="1676"/>
      <c r="D29" s="1673"/>
      <c r="E29" s="576"/>
      <c r="F29" s="1706" t="s">
        <v>564</v>
      </c>
      <c r="G29" s="578"/>
      <c r="H29" s="579"/>
      <c r="I29" s="579"/>
      <c r="J29" s="289" t="s">
        <v>645</v>
      </c>
      <c r="K29" s="549"/>
      <c r="L29" s="1676"/>
      <c r="M29" s="1676"/>
      <c r="R29" s="1676"/>
      <c r="U29" s="550"/>
      <c r="AA29" s="1672"/>
      <c r="AB29" s="1672"/>
      <c r="AC29" s="1672"/>
      <c r="AD29" s="1672"/>
      <c r="AE29" s="1672"/>
    </row>
    <row s="3293" customFormat="1" customHeight="1" ht="22.5">
      <c r="A30" s="994"/>
      <c r="C30" s="1676"/>
      <c r="D30" s="1678"/>
      <c r="E30" s="1704" t="s">
        <v>89</v>
      </c>
      <c r="F30" s="1701" t="s">
        <v>693</v>
      </c>
      <c r="G30" s="1694" t="s">
        <v>539</v>
      </c>
      <c r="H30" s="563"/>
      <c r="I30" s="563"/>
      <c r="J30" s="277"/>
      <c r="K30" s="549"/>
      <c r="L30" s="1676"/>
      <c r="M30" s="1676"/>
      <c r="R30" s="1676"/>
      <c r="U30" s="550"/>
      <c r="AA30" s="1672"/>
      <c r="AB30" s="1672"/>
      <c r="AC30" s="1672"/>
      <c r="AD30" s="1672"/>
      <c r="AE30" s="1672"/>
    </row>
    <row s="3293" customFormat="1" customHeight="1" ht="33.75">
      <c r="A31" s="994"/>
      <c r="C31" s="1676"/>
      <c r="D31" s="581"/>
      <c r="E31" s="1704" t="s">
        <v>90</v>
      </c>
      <c r="F31" s="1701" t="s">
        <v>694</v>
      </c>
      <c r="G31" s="1694" t="s">
        <v>539</v>
      </c>
      <c r="H31" s="563"/>
      <c r="I31" s="563"/>
      <c r="J31" s="277" t="s">
        <v>695</v>
      </c>
      <c r="K31" s="549"/>
      <c r="L31" s="1676"/>
      <c r="M31" s="1676"/>
      <c r="R31" s="1676"/>
      <c r="U31" s="550"/>
      <c r="AA31" s="1672"/>
      <c r="AB31" s="1672"/>
      <c r="AC31" s="1672"/>
      <c r="AD31" s="1672"/>
      <c r="AE31" s="1672"/>
    </row>
    <row s="3293" customFormat="1" customHeight="1" ht="22.5">
      <c r="A32" s="994"/>
      <c r="C32" s="1676"/>
      <c r="D32" s="1678"/>
      <c r="E32" s="1704" t="s">
        <v>654</v>
      </c>
      <c r="F32" s="696" t="s">
        <v>658</v>
      </c>
      <c r="G32" s="1694" t="s">
        <v>539</v>
      </c>
      <c r="H32" s="563"/>
      <c r="I32" s="563"/>
      <c r="J32" s="277" t="s">
        <v>696</v>
      </c>
      <c r="K32" s="549"/>
      <c r="L32" s="1676"/>
      <c r="M32" s="1676"/>
      <c r="R32" s="1676"/>
      <c r="U32" s="550"/>
      <c r="AA32" s="1672"/>
      <c r="AB32" s="1672"/>
      <c r="AC32" s="1672"/>
      <c r="AD32" s="1672"/>
      <c r="AE32" s="1672"/>
    </row>
    <row s="3293" customFormat="1" customHeight="1" ht="22.5">
      <c r="A33" s="994"/>
      <c r="C33" s="1676"/>
      <c r="D33" s="1678"/>
      <c r="E33" s="1704" t="s">
        <v>697</v>
      </c>
      <c r="F33" s="696" t="s">
        <v>698</v>
      </c>
      <c r="G33" s="1694" t="s">
        <v>539</v>
      </c>
      <c r="H33" s="563"/>
      <c r="I33" s="563"/>
      <c r="J33" s="277" t="s">
        <v>699</v>
      </c>
      <c r="K33" s="549"/>
      <c r="L33" s="1676"/>
      <c r="M33" s="1676"/>
      <c r="R33" s="1676"/>
      <c r="U33" s="550"/>
      <c r="AA33" s="1672"/>
      <c r="AB33" s="1672"/>
      <c r="AC33" s="1672"/>
      <c r="AD33" s="1672"/>
      <c r="AE33" s="1672"/>
    </row>
    <row s="3293" customFormat="1" customHeight="1" ht="22.5">
      <c r="A34" s="994"/>
      <c r="C34" s="1676"/>
      <c r="D34" s="1678"/>
      <c r="E34" s="1704" t="s">
        <v>700</v>
      </c>
      <c r="F34" s="696" t="s">
        <v>664</v>
      </c>
      <c r="G34" s="1694" t="s">
        <v>539</v>
      </c>
      <c r="H34" s="563"/>
      <c r="I34" s="563"/>
      <c r="J34" s="277" t="s">
        <v>701</v>
      </c>
      <c r="K34" s="549"/>
      <c r="L34" s="1676"/>
      <c r="M34" s="1676"/>
      <c r="R34" s="1676"/>
      <c r="U34" s="550"/>
      <c r="AA34" s="1672"/>
      <c r="AB34" s="1672"/>
      <c r="AC34" s="1672"/>
      <c r="AD34" s="1672"/>
      <c r="AE34" s="1672"/>
    </row>
    <row s="3293" customFormat="1" customHeight="1" ht="33.75">
      <c r="A35" s="994"/>
      <c r="C35" s="1676" t="s">
        <v>575</v>
      </c>
      <c r="D35" s="1678"/>
      <c r="E35" s="1704" t="s">
        <v>110</v>
      </c>
      <c r="F35" s="1701" t="s">
        <v>666</v>
      </c>
      <c r="G35" s="1697" t="s">
        <v>297</v>
      </c>
      <c r="H35" s="407"/>
      <c r="I35" s="407"/>
      <c r="J35" s="277" t="s">
        <v>702</v>
      </c>
      <c r="K35" s="549"/>
      <c r="L35" s="1676"/>
      <c r="M35" s="1676"/>
      <c r="R35" s="1676"/>
      <c r="U35" s="550"/>
      <c r="AA35" s="1672"/>
      <c r="AB35" s="1672"/>
      <c r="AC35" s="1672"/>
      <c r="AD35" s="1672"/>
      <c r="AE35" s="1672"/>
    </row>
    <row s="3293" customFormat="1" customHeight="1" ht="22.5">
      <c r="A36" s="994"/>
      <c r="C36" s="1676"/>
      <c r="D36" s="1678"/>
      <c r="E36" s="1704" t="s">
        <v>91</v>
      </c>
      <c r="F36" s="1701" t="s">
        <v>703</v>
      </c>
      <c r="G36" s="1694" t="s">
        <v>670</v>
      </c>
      <c r="H36" s="551"/>
      <c r="I36" s="551"/>
      <c r="J36" s="277" t="s">
        <v>671</v>
      </c>
      <c r="K36" s="549"/>
      <c r="L36" s="1676"/>
      <c r="M36" s="1676"/>
      <c r="R36" s="1676"/>
      <c r="U36" s="550"/>
      <c r="AA36" s="1672"/>
      <c r="AB36" s="1672"/>
      <c r="AC36" s="1672"/>
      <c r="AD36" s="1672"/>
      <c r="AE36" s="1672"/>
    </row>
    <row s="3293" customFormat="1" customHeight="1" ht="22.5">
      <c r="A37" s="994"/>
      <c r="C37" s="1676"/>
      <c r="D37" s="1678"/>
      <c r="E37" s="1704" t="s">
        <v>92</v>
      </c>
      <c r="F37" s="1701" t="s">
        <v>704</v>
      </c>
      <c r="G37" s="1694" t="s">
        <v>673</v>
      </c>
      <c r="H37" s="551"/>
      <c r="I37" s="551"/>
      <c r="J37" s="277" t="s">
        <v>674</v>
      </c>
      <c r="K37" s="549"/>
      <c r="L37" s="1676"/>
      <c r="M37" s="1676"/>
      <c r="R37" s="1676"/>
      <c r="U37" s="550"/>
      <c r="AA37" s="1672"/>
      <c r="AB37" s="1672"/>
      <c r="AC37" s="1672"/>
      <c r="AD37" s="1672"/>
      <c r="AE37" s="1672"/>
    </row>
    <row customHeight="1" ht="11.25">
      <c r="D38" s="1678"/>
    </row>
    <row customHeight="1" ht="26.25">
      <c r="D39" s="1678"/>
      <c r="E39" s="1273" t="s">
        <v>705</v>
      </c>
      <c r="F39" s="2106" t="s">
        <v>706</v>
      </c>
      <c r="G39" s="2106"/>
      <c r="H39" s="2106"/>
      <c r="I39" s="2106"/>
      <c r="J39" s="2106"/>
    </row>
    <row s="4068" customFormat="1" customHeight="1" ht="37.5">
      <c r="A40" s="994"/>
      <c r="B40" s="1676"/>
      <c r="C40" s="1676"/>
      <c r="D40" s="347"/>
      <c r="F40" s="2106" t="s">
        <v>707</v>
      </c>
      <c r="G40" s="2106"/>
      <c r="H40" s="2106"/>
      <c r="I40" s="2106"/>
      <c r="J40" s="2106"/>
      <c r="K40" s="1168"/>
      <c r="L40" s="1676"/>
      <c r="M40" s="1676"/>
      <c r="N40" s="1168"/>
      <c r="O40" s="1168"/>
      <c r="P40" s="1168"/>
      <c r="Q40" s="1168"/>
      <c r="R40" s="1676"/>
      <c r="S40" s="1168"/>
      <c r="T40" s="1168"/>
      <c r="U40" s="550"/>
      <c r="V40" s="1168"/>
      <c r="W40" s="1168"/>
      <c r="X40" s="1168"/>
      <c r="Y40" s="1168"/>
      <c r="Z40" s="1168"/>
      <c r="AA40" s="1672"/>
      <c r="AB40" s="572"/>
      <c r="AC40" s="572"/>
      <c r="AD40" s="572"/>
      <c r="AE40" s="572"/>
    </row>
    <row s="4068" customFormat="1" customHeight="1" ht="11.25">
      <c r="A41" s="994"/>
      <c r="B41" s="1676"/>
      <c r="C41" s="1676"/>
      <c r="D41" s="347"/>
      <c r="K41" s="1168"/>
      <c r="L41" s="1676"/>
      <c r="M41" s="1676"/>
      <c r="N41" s="1168"/>
      <c r="O41" s="1168"/>
      <c r="P41" s="1168"/>
      <c r="Q41" s="1168"/>
      <c r="R41" s="1676"/>
      <c r="S41" s="1168"/>
      <c r="T41" s="1168"/>
      <c r="U41" s="550"/>
      <c r="V41" s="1168"/>
      <c r="W41" s="1168"/>
      <c r="X41" s="1168"/>
      <c r="Y41" s="1168"/>
      <c r="Z41" s="1168"/>
      <c r="AA41" s="1672"/>
      <c r="AB41" s="572"/>
      <c r="AC41" s="572"/>
      <c r="AD41" s="572"/>
      <c r="AE41" s="572"/>
    </row>
    <row s="4068" customFormat="1" customHeight="1" ht="11.25">
      <c r="A42" s="994"/>
      <c r="B42" s="1676"/>
      <c r="C42" s="1676"/>
      <c r="D42" s="347"/>
      <c r="K42" s="1168"/>
      <c r="L42" s="1676"/>
      <c r="M42" s="1676"/>
      <c r="N42" s="1168"/>
      <c r="O42" s="1168"/>
      <c r="P42" s="1168"/>
      <c r="Q42" s="1168"/>
      <c r="R42" s="1676"/>
      <c r="S42" s="1168"/>
      <c r="T42" s="1168"/>
      <c r="U42" s="550"/>
      <c r="V42" s="1168"/>
      <c r="W42" s="1168"/>
      <c r="X42" s="1168"/>
      <c r="Y42" s="1168"/>
      <c r="Z42" s="1168"/>
      <c r="AA42" s="1672"/>
      <c r="AB42" s="572"/>
      <c r="AC42" s="572"/>
      <c r="AD42" s="572"/>
      <c r="AE42" s="572"/>
    </row>
    <row s="4068" customFormat="1" customHeight="1" ht="11.25">
      <c r="A43" s="994"/>
      <c r="B43" s="1676"/>
      <c r="C43" s="1676"/>
      <c r="D43" s="347"/>
      <c r="H43" s="572"/>
      <c r="I43" s="572"/>
      <c r="K43" s="1168"/>
      <c r="L43" s="1676"/>
      <c r="M43" s="1676"/>
      <c r="N43" s="1168"/>
      <c r="O43" s="1168"/>
      <c r="P43" s="1168"/>
      <c r="Q43" s="1168"/>
      <c r="R43" s="1676"/>
      <c r="S43" s="1168"/>
      <c r="T43" s="1168"/>
      <c r="U43" s="550"/>
      <c r="V43" s="1168"/>
      <c r="W43" s="1168"/>
      <c r="X43" s="1168"/>
      <c r="Y43" s="1168"/>
      <c r="Z43" s="1168"/>
      <c r="AA43" s="1672"/>
      <c r="AB43" s="572"/>
      <c r="AC43" s="572"/>
      <c r="AD43" s="572"/>
      <c r="AE43" s="572"/>
    </row>
    <row s="4068" customFormat="1" customHeight="1" ht="11.25">
      <c r="A44" s="994"/>
      <c r="B44" s="1676"/>
      <c r="C44" s="1676"/>
      <c r="D44" s="347"/>
      <c r="K44" s="1168"/>
      <c r="L44" s="1676"/>
      <c r="M44" s="1676"/>
      <c r="N44" s="1168"/>
      <c r="O44" s="1168"/>
      <c r="P44" s="1168"/>
      <c r="Q44" s="1168"/>
      <c r="R44" s="1676"/>
      <c r="S44" s="1168"/>
      <c r="T44" s="1168"/>
      <c r="U44" s="550"/>
      <c r="V44" s="1168"/>
      <c r="W44" s="1168"/>
      <c r="X44" s="1168"/>
      <c r="Y44" s="1168"/>
      <c r="Z44" s="1168"/>
      <c r="AA44" s="1672"/>
      <c r="AB44" s="572"/>
      <c r="AC44" s="572"/>
      <c r="AD44" s="572"/>
      <c r="AE44" s="572"/>
    </row>
    <row s="4068" customFormat="1" customHeight="1" ht="11.25">
      <c r="A45" s="994"/>
      <c r="B45" s="1676"/>
      <c r="C45" s="1676"/>
      <c r="D45" s="347"/>
      <c r="K45" s="1168"/>
      <c r="L45" s="1676"/>
      <c r="M45" s="1676"/>
      <c r="N45" s="1168"/>
      <c r="O45" s="1168"/>
      <c r="P45" s="1168"/>
      <c r="Q45" s="1168"/>
      <c r="R45" s="1676"/>
      <c r="S45" s="1168"/>
      <c r="T45" s="1168"/>
      <c r="U45" s="550"/>
      <c r="V45" s="1168"/>
      <c r="W45" s="1168"/>
      <c r="X45" s="1168"/>
      <c r="Y45" s="1168"/>
      <c r="Z45" s="1168"/>
      <c r="AA45" s="1672"/>
      <c r="AB45" s="572"/>
      <c r="AC45" s="572"/>
      <c r="AD45" s="572"/>
      <c r="AE45" s="572"/>
    </row>
    <row s="4068" customFormat="1" customHeight="1" ht="11.25">
      <c r="A46" s="994"/>
      <c r="B46" s="1676"/>
      <c r="C46" s="1676"/>
      <c r="D46" s="347"/>
      <c r="K46" s="1168"/>
      <c r="L46" s="1676"/>
      <c r="M46" s="1676"/>
      <c r="N46" s="1168"/>
      <c r="O46" s="1168"/>
      <c r="P46" s="1168"/>
      <c r="Q46" s="1168"/>
      <c r="R46" s="1676"/>
      <c r="S46" s="1168"/>
      <c r="T46" s="1168"/>
      <c r="U46" s="550"/>
      <c r="V46" s="1168"/>
      <c r="W46" s="1168"/>
      <c r="X46" s="1168"/>
      <c r="Y46" s="1168"/>
      <c r="Z46" s="1168"/>
      <c r="AA46" s="1672"/>
      <c r="AB46" s="572"/>
      <c r="AC46" s="572"/>
      <c r="AD46" s="572"/>
      <c r="AE46" s="572"/>
    </row>
    <row s="4068" customFormat="1" customHeight="1" ht="11.25">
      <c r="A47" s="994"/>
      <c r="B47" s="1676"/>
      <c r="C47" s="1676"/>
      <c r="D47" s="347"/>
      <c r="K47" s="1168"/>
      <c r="L47" s="1676"/>
      <c r="M47" s="1676"/>
      <c r="N47" s="1168"/>
      <c r="O47" s="1168"/>
      <c r="P47" s="1168"/>
      <c r="Q47" s="1168"/>
      <c r="R47" s="1676"/>
      <c r="S47" s="1168"/>
      <c r="T47" s="1168"/>
      <c r="U47" s="550"/>
      <c r="V47" s="1168"/>
      <c r="W47" s="1168"/>
      <c r="X47" s="1168"/>
      <c r="Y47" s="1168"/>
      <c r="Z47" s="1168"/>
      <c r="AA47" s="1672"/>
      <c r="AB47" s="572"/>
      <c r="AC47" s="572"/>
      <c r="AD47" s="572"/>
      <c r="AE47" s="572"/>
    </row>
    <row s="4068" customFormat="1" customHeight="1" ht="11.25">
      <c r="A48" s="994"/>
      <c r="B48" s="1676"/>
      <c r="C48" s="1676"/>
      <c r="D48" s="347"/>
      <c r="K48" s="1168"/>
      <c r="L48" s="1676"/>
      <c r="M48" s="1676"/>
      <c r="N48" s="1168"/>
      <c r="O48" s="1168"/>
      <c r="P48" s="1168"/>
      <c r="Q48" s="1168"/>
      <c r="R48" s="1676"/>
      <c r="S48" s="1168"/>
      <c r="T48" s="1168"/>
      <c r="U48" s="550"/>
      <c r="V48" s="1168"/>
      <c r="W48" s="1168"/>
      <c r="X48" s="1168"/>
      <c r="Y48" s="1168"/>
      <c r="Z48" s="1168"/>
      <c r="AA48" s="1672"/>
      <c r="AB48" s="572"/>
      <c r="AC48" s="572"/>
      <c r="AD48" s="572"/>
      <c r="AE48" s="572"/>
    </row>
    <row s="4068" customFormat="1" customHeight="1" ht="11.25">
      <c r="A49" s="994"/>
      <c r="B49" s="1676"/>
      <c r="C49" s="1676"/>
      <c r="D49" s="347"/>
      <c r="K49" s="1168"/>
      <c r="L49" s="1676"/>
      <c r="M49" s="1676"/>
      <c r="N49" s="1168"/>
      <c r="O49" s="1168"/>
      <c r="P49" s="1168"/>
      <c r="Q49" s="1168"/>
      <c r="R49" s="1676"/>
      <c r="S49" s="1168"/>
      <c r="T49" s="1168"/>
      <c r="U49" s="550"/>
      <c r="V49" s="1168"/>
      <c r="W49" s="1168"/>
      <c r="X49" s="1168"/>
      <c r="Y49" s="1168"/>
      <c r="Z49" s="1168"/>
      <c r="AA49" s="1672"/>
      <c r="AB49" s="572"/>
      <c r="AC49" s="572"/>
      <c r="AD49" s="572"/>
      <c r="AE49" s="572"/>
    </row>
    <row s="4068" customFormat="1" customHeight="1" ht="11.25">
      <c r="A50" s="994"/>
      <c r="B50" s="1676"/>
      <c r="C50" s="1676"/>
      <c r="D50" s="347"/>
      <c r="K50" s="1168"/>
      <c r="L50" s="1676"/>
      <c r="M50" s="1676"/>
      <c r="N50" s="1168"/>
      <c r="O50" s="1168"/>
      <c r="P50" s="1168"/>
      <c r="Q50" s="1168"/>
      <c r="R50" s="1676"/>
      <c r="S50" s="1168"/>
      <c r="T50" s="1168"/>
      <c r="U50" s="550"/>
      <c r="V50" s="1168"/>
      <c r="W50" s="1168"/>
      <c r="X50" s="1168"/>
      <c r="Y50" s="1168"/>
      <c r="Z50" s="1168"/>
      <c r="AA50" s="1672"/>
      <c r="AB50" s="572"/>
      <c r="AC50" s="572"/>
      <c r="AD50" s="572"/>
      <c r="AE50" s="572"/>
    </row>
    <row s="4068" customFormat="1" customHeight="1" ht="11.25">
      <c r="A51" s="994"/>
      <c r="B51" s="1676"/>
      <c r="C51" s="1676"/>
      <c r="D51" s="347"/>
      <c r="K51" s="1168"/>
      <c r="L51" s="1676"/>
      <c r="M51" s="1676"/>
      <c r="N51" s="1168"/>
      <c r="O51" s="1168"/>
      <c r="P51" s="1168"/>
      <c r="Q51" s="1168"/>
      <c r="R51" s="1676"/>
      <c r="S51" s="1168"/>
      <c r="T51" s="1168"/>
      <c r="U51" s="550"/>
      <c r="V51" s="1168"/>
      <c r="W51" s="1168"/>
      <c r="X51" s="1168"/>
      <c r="Y51" s="1168"/>
      <c r="Z51" s="1168"/>
      <c r="AA51" s="1672"/>
      <c r="AB51" s="572"/>
      <c r="AC51" s="572"/>
      <c r="AD51" s="572"/>
      <c r="AE51" s="572"/>
    </row>
    <row s="4068" customFormat="1" customHeight="1" ht="11.25">
      <c r="A52" s="994"/>
      <c r="B52" s="1676"/>
      <c r="C52" s="1676"/>
      <c r="D52" s="347"/>
      <c r="K52" s="1168"/>
      <c r="L52" s="1676"/>
      <c r="M52" s="1676"/>
      <c r="N52" s="1168"/>
      <c r="O52" s="1168"/>
      <c r="P52" s="1168"/>
      <c r="Q52" s="1168"/>
      <c r="R52" s="1676"/>
      <c r="S52" s="1168"/>
      <c r="T52" s="1168"/>
      <c r="U52" s="550"/>
      <c r="V52" s="1168"/>
      <c r="W52" s="1168"/>
      <c r="X52" s="1168"/>
      <c r="Y52" s="1168"/>
      <c r="Z52" s="1168"/>
      <c r="AA52" s="1672"/>
      <c r="AB52" s="572"/>
      <c r="AC52" s="572"/>
      <c r="AD52" s="572"/>
      <c r="AE52" s="572"/>
    </row>
    <row s="4068" customFormat="1" customHeight="1" ht="11.25">
      <c r="A53" s="994"/>
      <c r="B53" s="1676"/>
      <c r="C53" s="1676"/>
      <c r="D53" s="347"/>
      <c r="K53" s="1168"/>
      <c r="L53" s="1676"/>
      <c r="M53" s="1676"/>
      <c r="N53" s="1168"/>
      <c r="O53" s="1168"/>
      <c r="P53" s="1168"/>
      <c r="Q53" s="1168"/>
      <c r="R53" s="1676"/>
      <c r="S53" s="1168"/>
      <c r="T53" s="1168"/>
      <c r="U53" s="550"/>
      <c r="V53" s="1168"/>
      <c r="W53" s="1168"/>
      <c r="X53" s="1168"/>
      <c r="Y53" s="1168"/>
      <c r="Z53" s="1168"/>
      <c r="AA53" s="1672"/>
      <c r="AB53" s="572"/>
      <c r="AC53" s="572"/>
      <c r="AD53" s="572"/>
      <c r="AE53" s="572"/>
    </row>
    <row s="4068" customFormat="1" customHeight="1" ht="11.25">
      <c r="A54" s="994"/>
      <c r="B54" s="1676"/>
      <c r="C54" s="1676"/>
      <c r="D54" s="347"/>
      <c r="K54" s="1168"/>
      <c r="L54" s="1676"/>
      <c r="M54" s="1676"/>
      <c r="N54" s="1168"/>
      <c r="O54" s="1168"/>
      <c r="P54" s="1168"/>
      <c r="Q54" s="1168"/>
      <c r="R54" s="1676"/>
      <c r="S54" s="1168"/>
      <c r="T54" s="1168"/>
      <c r="U54" s="550"/>
      <c r="V54" s="1168"/>
      <c r="W54" s="1168"/>
      <c r="X54" s="1168"/>
      <c r="Y54" s="1168"/>
      <c r="Z54" s="1168"/>
      <c r="AA54" s="1672"/>
      <c r="AB54" s="572"/>
      <c r="AC54" s="572"/>
      <c r="AD54" s="572"/>
      <c r="AE54" s="572"/>
    </row>
    <row s="4068" customFormat="1" customHeight="1" ht="11.25">
      <c r="A55" s="994"/>
      <c r="B55" s="1676"/>
      <c r="C55" s="1676"/>
      <c r="D55" s="347"/>
      <c r="K55" s="1168"/>
      <c r="L55" s="1676"/>
      <c r="M55" s="1676"/>
      <c r="N55" s="1168"/>
      <c r="O55" s="1168"/>
      <c r="P55" s="1168"/>
      <c r="Q55" s="1168"/>
      <c r="R55" s="1676"/>
      <c r="S55" s="1168"/>
      <c r="T55" s="1168"/>
      <c r="U55" s="550"/>
      <c r="V55" s="1168"/>
      <c r="W55" s="1168"/>
      <c r="X55" s="1168"/>
      <c r="Y55" s="1168"/>
      <c r="Z55" s="1168"/>
      <c r="AA55" s="1672"/>
      <c r="AB55" s="572"/>
      <c r="AC55" s="572"/>
      <c r="AD55" s="572"/>
      <c r="AE55" s="572"/>
    </row>
    <row s="4068" customFormat="1" customHeight="1" ht="11.25">
      <c r="A56" s="994"/>
      <c r="B56" s="1676"/>
      <c r="C56" s="1676"/>
      <c r="D56" s="347"/>
      <c r="K56" s="1168"/>
      <c r="L56" s="1676"/>
      <c r="M56" s="1676"/>
      <c r="N56" s="1168"/>
      <c r="O56" s="1168"/>
      <c r="P56" s="1168"/>
      <c r="Q56" s="1168"/>
      <c r="R56" s="1676"/>
      <c r="S56" s="1168"/>
      <c r="T56" s="1168"/>
      <c r="U56" s="550"/>
      <c r="V56" s="1168"/>
      <c r="W56" s="1168"/>
      <c r="X56" s="1168"/>
      <c r="Y56" s="1168"/>
      <c r="Z56" s="1168"/>
      <c r="AA56" s="1672"/>
      <c r="AB56" s="572"/>
      <c r="AC56" s="572"/>
      <c r="AD56" s="572"/>
      <c r="AE56" s="572"/>
    </row>
    <row s="4068" customFormat="1" customHeight="1" ht="11.25">
      <c r="A57" s="994"/>
      <c r="B57" s="1676"/>
      <c r="C57" s="1676"/>
      <c r="D57" s="347"/>
      <c r="K57" s="1168"/>
      <c r="L57" s="1676"/>
      <c r="M57" s="1676"/>
      <c r="N57" s="1168"/>
      <c r="O57" s="1168"/>
      <c r="P57" s="1168"/>
      <c r="Q57" s="1168"/>
      <c r="R57" s="1676"/>
      <c r="S57" s="1168"/>
      <c r="T57" s="1168"/>
      <c r="U57" s="550"/>
      <c r="V57" s="1168"/>
      <c r="W57" s="1168"/>
      <c r="X57" s="1168"/>
      <c r="Y57" s="1168"/>
      <c r="Z57" s="1168"/>
      <c r="AA57" s="1672"/>
      <c r="AB57" s="572"/>
      <c r="AC57" s="572"/>
      <c r="AD57" s="572"/>
      <c r="AE57" s="572"/>
    </row>
    <row s="4068" customFormat="1" customHeight="1" ht="11.25">
      <c r="A58" s="994"/>
      <c r="B58" s="1676"/>
      <c r="C58" s="1676"/>
      <c r="D58" s="347"/>
      <c r="K58" s="1168"/>
      <c r="L58" s="1676"/>
      <c r="M58" s="1676"/>
      <c r="N58" s="1168"/>
      <c r="O58" s="1168"/>
      <c r="P58" s="1168"/>
      <c r="Q58" s="1168"/>
      <c r="R58" s="1676"/>
      <c r="S58" s="1168"/>
      <c r="T58" s="1168"/>
      <c r="U58" s="550"/>
      <c r="V58" s="1168"/>
      <c r="W58" s="1168"/>
      <c r="X58" s="1168"/>
      <c r="Y58" s="1168"/>
      <c r="Z58" s="1168"/>
      <c r="AA58" s="1672"/>
      <c r="AB58" s="572"/>
      <c r="AC58" s="572"/>
      <c r="AD58" s="572"/>
      <c r="AE58" s="572"/>
    </row>
    <row s="4068" customFormat="1" customHeight="1" ht="11.25">
      <c r="A59" s="994"/>
      <c r="B59" s="1676"/>
      <c r="C59" s="1676"/>
      <c r="D59" s="347"/>
      <c r="K59" s="1168"/>
      <c r="L59" s="1676"/>
      <c r="M59" s="1676"/>
      <c r="N59" s="1168"/>
      <c r="O59" s="1168"/>
      <c r="P59" s="1168"/>
      <c r="Q59" s="1168"/>
      <c r="R59" s="1676"/>
      <c r="S59" s="1168"/>
      <c r="T59" s="1168"/>
      <c r="U59" s="550"/>
      <c r="V59" s="1168"/>
      <c r="W59" s="1168"/>
      <c r="X59" s="1168"/>
      <c r="Y59" s="1168"/>
      <c r="Z59" s="1168"/>
      <c r="AA59" s="1672"/>
      <c r="AB59" s="572"/>
      <c r="AC59" s="572"/>
      <c r="AD59" s="572"/>
      <c r="AE59" s="572"/>
    </row>
    <row s="4068" customFormat="1" customHeight="1" ht="11.25">
      <c r="A60" s="994"/>
      <c r="B60" s="1676"/>
      <c r="C60" s="1676"/>
      <c r="D60" s="347"/>
      <c r="K60" s="1168"/>
      <c r="L60" s="1676"/>
      <c r="M60" s="1676"/>
      <c r="N60" s="1168"/>
      <c r="O60" s="1168"/>
      <c r="P60" s="1168"/>
      <c r="Q60" s="1168"/>
      <c r="R60" s="1676"/>
      <c r="S60" s="1168"/>
      <c r="T60" s="1168"/>
      <c r="U60" s="550"/>
      <c r="V60" s="1168"/>
      <c r="W60" s="1168"/>
      <c r="X60" s="1168"/>
      <c r="Y60" s="1168"/>
      <c r="Z60" s="1168"/>
      <c r="AA60" s="1672"/>
      <c r="AB60" s="572"/>
      <c r="AC60" s="572"/>
      <c r="AD60" s="572"/>
      <c r="AE60" s="572"/>
    </row>
    <row s="4068" customFormat="1" customHeight="1" ht="11.25">
      <c r="A61" s="994"/>
      <c r="B61" s="1676"/>
      <c r="C61" s="1676"/>
      <c r="D61" s="347"/>
      <c r="K61" s="1168"/>
      <c r="L61" s="1676"/>
      <c r="M61" s="1676"/>
      <c r="N61" s="1168"/>
      <c r="O61" s="1168"/>
      <c r="P61" s="1168"/>
      <c r="Q61" s="1168"/>
      <c r="R61" s="1676"/>
      <c r="S61" s="1168"/>
      <c r="T61" s="1168"/>
      <c r="U61" s="550"/>
      <c r="V61" s="1168"/>
      <c r="W61" s="1168"/>
      <c r="X61" s="1168"/>
      <c r="Y61" s="1168"/>
      <c r="Z61" s="1168"/>
      <c r="AA61" s="1672"/>
      <c r="AB61" s="572"/>
      <c r="AC61" s="572"/>
      <c r="AD61" s="572"/>
      <c r="AE61" s="572"/>
    </row>
    <row s="4068" customFormat="1" customHeight="1" ht="11.25">
      <c r="A62" s="994"/>
      <c r="B62" s="1676"/>
      <c r="C62" s="1676"/>
      <c r="D62" s="347"/>
      <c r="K62" s="1168"/>
      <c r="L62" s="1676"/>
      <c r="M62" s="1676"/>
      <c r="N62" s="1168"/>
      <c r="O62" s="1168"/>
      <c r="P62" s="1168"/>
      <c r="Q62" s="1168"/>
      <c r="R62" s="1676"/>
      <c r="S62" s="1168"/>
      <c r="T62" s="1168"/>
      <c r="U62" s="550"/>
      <c r="V62" s="1168"/>
      <c r="W62" s="1168"/>
      <c r="X62" s="1168"/>
      <c r="Y62" s="1168"/>
      <c r="Z62" s="1168"/>
      <c r="AA62" s="1672"/>
      <c r="AB62" s="572"/>
      <c r="AC62" s="572"/>
      <c r="AD62" s="572"/>
      <c r="AE62" s="572"/>
    </row>
    <row s="4068" customFormat="1" customHeight="1" ht="11.25">
      <c r="A63" s="994"/>
      <c r="B63" s="1676"/>
      <c r="C63" s="1676"/>
      <c r="D63" s="347"/>
      <c r="K63" s="1168"/>
      <c r="L63" s="1676"/>
      <c r="M63" s="1676"/>
      <c r="N63" s="1168"/>
      <c r="O63" s="1168"/>
      <c r="P63" s="1168"/>
      <c r="Q63" s="1168"/>
      <c r="R63" s="1676"/>
      <c r="S63" s="1168"/>
      <c r="T63" s="1168"/>
      <c r="U63" s="550"/>
      <c r="V63" s="1168"/>
      <c r="W63" s="1168"/>
      <c r="X63" s="1168"/>
      <c r="Y63" s="1168"/>
      <c r="Z63" s="1168"/>
      <c r="AA63" s="1672"/>
      <c r="AB63" s="572"/>
      <c r="AC63" s="572"/>
      <c r="AD63" s="572"/>
      <c r="AE63" s="572"/>
    </row>
    <row s="4068" customFormat="1" customHeight="1" ht="11.25">
      <c r="A64" s="994"/>
      <c r="B64" s="1676"/>
      <c r="C64" s="1676"/>
      <c r="D64" s="347"/>
      <c r="K64" s="1168"/>
      <c r="L64" s="1676"/>
      <c r="M64" s="1676"/>
      <c r="N64" s="1168"/>
      <c r="O64" s="1168"/>
      <c r="P64" s="1168"/>
      <c r="Q64" s="1168"/>
      <c r="R64" s="1676"/>
      <c r="S64" s="1168"/>
      <c r="T64" s="1168"/>
      <c r="U64" s="550"/>
      <c r="V64" s="1168"/>
      <c r="W64" s="1168"/>
      <c r="X64" s="1168"/>
      <c r="Y64" s="1168"/>
      <c r="Z64" s="1168"/>
      <c r="AA64" s="1672"/>
      <c r="AB64" s="572"/>
      <c r="AC64" s="572"/>
      <c r="AD64" s="572"/>
      <c r="AE64" s="572"/>
    </row>
    <row s="4068" customFormat="1" customHeight="1" ht="11.25">
      <c r="A65" s="994"/>
      <c r="B65" s="1676"/>
      <c r="C65" s="1676"/>
      <c r="D65" s="347"/>
      <c r="K65" s="1168"/>
      <c r="L65" s="1676"/>
      <c r="M65" s="1676"/>
      <c r="N65" s="1168"/>
      <c r="O65" s="1168"/>
      <c r="P65" s="1168"/>
      <c r="Q65" s="1168"/>
      <c r="R65" s="1676"/>
      <c r="S65" s="1168"/>
      <c r="T65" s="1168"/>
      <c r="U65" s="550"/>
      <c r="V65" s="1168"/>
      <c r="W65" s="1168"/>
      <c r="X65" s="1168"/>
      <c r="Y65" s="1168"/>
      <c r="Z65" s="1168"/>
      <c r="AA65" s="1672"/>
      <c r="AB65" s="572"/>
      <c r="AC65" s="572"/>
      <c r="AD65" s="572"/>
      <c r="AE65" s="572"/>
    </row>
    <row s="4068" customFormat="1" customHeight="1" ht="11.25">
      <c r="A66" s="994"/>
      <c r="B66" s="1676"/>
      <c r="C66" s="1676"/>
      <c r="D66" s="347"/>
      <c r="K66" s="1168"/>
      <c r="L66" s="1676"/>
      <c r="M66" s="1676"/>
      <c r="N66" s="1168"/>
      <c r="O66" s="1168"/>
      <c r="P66" s="1168"/>
      <c r="Q66" s="1168"/>
      <c r="R66" s="1676"/>
      <c r="S66" s="1168"/>
      <c r="T66" s="1168"/>
      <c r="U66" s="550"/>
      <c r="V66" s="1168"/>
      <c r="W66" s="1168"/>
      <c r="X66" s="1168"/>
      <c r="Y66" s="1168"/>
      <c r="Z66" s="1168"/>
      <c r="AA66" s="1672"/>
      <c r="AB66" s="572"/>
      <c r="AC66" s="572"/>
      <c r="AD66" s="572"/>
      <c r="AE66" s="572"/>
    </row>
    <row s="4068" customFormat="1" customHeight="1" ht="11.25">
      <c r="A67" s="994"/>
      <c r="B67" s="1676"/>
      <c r="C67" s="1676"/>
      <c r="D67" s="347"/>
      <c r="K67" s="1168"/>
      <c r="L67" s="1676"/>
      <c r="M67" s="1676"/>
      <c r="N67" s="1168"/>
      <c r="O67" s="1168"/>
      <c r="P67" s="1168"/>
      <c r="Q67" s="1168"/>
      <c r="R67" s="1676"/>
      <c r="S67" s="1168"/>
      <c r="T67" s="1168"/>
      <c r="U67" s="550"/>
      <c r="V67" s="1168"/>
      <c r="W67" s="1168"/>
      <c r="X67" s="1168"/>
      <c r="Y67" s="1168"/>
      <c r="Z67" s="1168"/>
      <c r="AA67" s="1672"/>
      <c r="AB67" s="572"/>
      <c r="AC67" s="572"/>
      <c r="AD67" s="572"/>
      <c r="AE67" s="572"/>
    </row>
    <row s="4068" customFormat="1" customHeight="1" ht="11.25">
      <c r="A68" s="994"/>
      <c r="B68" s="1676"/>
      <c r="C68" s="1676"/>
      <c r="D68" s="347"/>
      <c r="K68" s="1168"/>
      <c r="L68" s="1676"/>
      <c r="M68" s="1676"/>
      <c r="N68" s="1168"/>
      <c r="O68" s="1168"/>
      <c r="P68" s="1168"/>
      <c r="Q68" s="1168"/>
      <c r="R68" s="1676"/>
      <c r="S68" s="1168"/>
      <c r="T68" s="1168"/>
      <c r="U68" s="550"/>
      <c r="V68" s="1168"/>
      <c r="W68" s="1168"/>
      <c r="X68" s="1168"/>
      <c r="Y68" s="1168"/>
      <c r="Z68" s="1168"/>
      <c r="AA68" s="1672"/>
      <c r="AB68" s="572"/>
      <c r="AC68" s="572"/>
      <c r="AD68" s="572"/>
      <c r="AE68" s="572"/>
    </row>
    <row s="4068" customFormat="1" customHeight="1" ht="11.25">
      <c r="A69" s="994"/>
      <c r="B69" s="1676"/>
      <c r="C69" s="1676"/>
      <c r="D69" s="347"/>
      <c r="K69" s="1168"/>
      <c r="L69" s="1676"/>
      <c r="M69" s="1676"/>
      <c r="N69" s="1168"/>
      <c r="O69" s="1168"/>
      <c r="P69" s="1168"/>
      <c r="Q69" s="1168"/>
      <c r="R69" s="1676"/>
      <c r="S69" s="1168"/>
      <c r="T69" s="1168"/>
      <c r="U69" s="550"/>
      <c r="V69" s="1168"/>
      <c r="W69" s="1168"/>
      <c r="X69" s="1168"/>
      <c r="Y69" s="1168"/>
      <c r="Z69" s="1168"/>
      <c r="AA69" s="1672"/>
      <c r="AB69" s="572"/>
      <c r="AC69" s="572"/>
      <c r="AD69" s="572"/>
      <c r="AE69" s="572"/>
    </row>
    <row s="4068" customFormat="1" customHeight="1" ht="11.25">
      <c r="A70" s="994"/>
      <c r="B70" s="1676"/>
      <c r="C70" s="1676"/>
      <c r="D70" s="347"/>
      <c r="K70" s="1168"/>
      <c r="L70" s="1676"/>
      <c r="M70" s="1676"/>
      <c r="N70" s="1168"/>
      <c r="O70" s="1168"/>
      <c r="P70" s="1168"/>
      <c r="Q70" s="1168"/>
      <c r="R70" s="1676"/>
      <c r="S70" s="1168"/>
      <c r="T70" s="1168"/>
      <c r="U70" s="550"/>
      <c r="V70" s="1168"/>
      <c r="W70" s="1168"/>
      <c r="X70" s="1168"/>
      <c r="Y70" s="1168"/>
      <c r="Z70" s="1168"/>
      <c r="AA70" s="1672"/>
      <c r="AB70" s="572"/>
      <c r="AC70" s="572"/>
      <c r="AD70" s="572"/>
      <c r="AE70" s="572"/>
    </row>
    <row s="4068" customFormat="1" customHeight="1" ht="11.25">
      <c r="A71" s="994"/>
      <c r="B71" s="1676"/>
      <c r="C71" s="1676"/>
      <c r="D71" s="347"/>
      <c r="K71" s="1168"/>
      <c r="L71" s="1676"/>
      <c r="M71" s="1676"/>
      <c r="N71" s="1168"/>
      <c r="O71" s="1168"/>
      <c r="P71" s="1168"/>
      <c r="Q71" s="1168"/>
      <c r="R71" s="1676"/>
      <c r="S71" s="1168"/>
      <c r="T71" s="1168"/>
      <c r="U71" s="550"/>
      <c r="V71" s="1168"/>
      <c r="W71" s="1168"/>
      <c r="X71" s="1168"/>
      <c r="Y71" s="1168"/>
      <c r="Z71" s="1168"/>
      <c r="AA71" s="1672"/>
      <c r="AB71" s="572"/>
      <c r="AC71" s="572"/>
      <c r="AD71" s="572"/>
      <c r="AE71" s="572"/>
    </row>
    <row s="4068" customFormat="1" customHeight="1" ht="11.25">
      <c r="A72" s="994"/>
      <c r="B72" s="1676"/>
      <c r="C72" s="1676"/>
      <c r="D72" s="347"/>
      <c r="K72" s="1168"/>
      <c r="L72" s="1676"/>
      <c r="M72" s="1676"/>
      <c r="N72" s="1168"/>
      <c r="O72" s="1168"/>
      <c r="P72" s="1168"/>
      <c r="Q72" s="1168"/>
      <c r="R72" s="1676"/>
      <c r="S72" s="1168"/>
      <c r="T72" s="1168"/>
      <c r="U72" s="550"/>
      <c r="V72" s="1168"/>
      <c r="W72" s="1168"/>
      <c r="X72" s="1168"/>
      <c r="Y72" s="1168"/>
      <c r="Z72" s="1168"/>
      <c r="AA72" s="1672"/>
      <c r="AB72" s="572"/>
      <c r="AC72" s="572"/>
      <c r="AD72" s="572"/>
      <c r="AE72" s="572"/>
    </row>
    <row s="4068" customFormat="1" customHeight="1" ht="11.25">
      <c r="A73" s="994"/>
      <c r="B73" s="1676"/>
      <c r="C73" s="1676"/>
      <c r="D73" s="347"/>
      <c r="K73" s="1168"/>
      <c r="L73" s="1676"/>
      <c r="M73" s="1676"/>
      <c r="N73" s="1168"/>
      <c r="O73" s="1168"/>
      <c r="P73" s="1168"/>
      <c r="Q73" s="1168"/>
      <c r="R73" s="1676"/>
      <c r="S73" s="1168"/>
      <c r="T73" s="1168"/>
      <c r="U73" s="550"/>
      <c r="V73" s="1168"/>
      <c r="W73" s="1168"/>
      <c r="X73" s="1168"/>
      <c r="Y73" s="1168"/>
      <c r="Z73" s="1168"/>
      <c r="AA73" s="1672"/>
      <c r="AB73" s="572"/>
      <c r="AC73" s="572"/>
      <c r="AD73" s="572"/>
      <c r="AE73" s="572"/>
    </row>
    <row s="4068" customFormat="1" customHeight="1" ht="11.25">
      <c r="A74" s="994"/>
      <c r="B74" s="1676"/>
      <c r="C74" s="1676"/>
      <c r="D74" s="347"/>
      <c r="K74" s="1168"/>
      <c r="L74" s="1676"/>
      <c r="M74" s="1676"/>
      <c r="N74" s="1168"/>
      <c r="O74" s="1168"/>
      <c r="P74" s="1168"/>
      <c r="Q74" s="1168"/>
      <c r="R74" s="1676"/>
      <c r="S74" s="1168"/>
      <c r="T74" s="1168"/>
      <c r="U74" s="550"/>
      <c r="V74" s="1168"/>
      <c r="W74" s="1168"/>
      <c r="X74" s="1168"/>
      <c r="Y74" s="1168"/>
      <c r="Z74" s="1168"/>
      <c r="AA74" s="1672"/>
      <c r="AB74" s="572"/>
      <c r="AC74" s="572"/>
      <c r="AD74" s="572"/>
      <c r="AE74" s="572"/>
    </row>
    <row s="4068" customFormat="1" customHeight="1" ht="11.25">
      <c r="A75" s="994"/>
      <c r="B75" s="1676"/>
      <c r="C75" s="1676"/>
      <c r="D75" s="347"/>
      <c r="K75" s="1168"/>
      <c r="L75" s="1676"/>
      <c r="M75" s="1676"/>
      <c r="N75" s="1168"/>
      <c r="O75" s="1168"/>
      <c r="P75" s="1168"/>
      <c r="Q75" s="1168"/>
      <c r="R75" s="1676"/>
      <c r="S75" s="1168"/>
      <c r="T75" s="1168"/>
      <c r="U75" s="550"/>
      <c r="V75" s="1168"/>
      <c r="W75" s="1168"/>
      <c r="X75" s="1168"/>
      <c r="Y75" s="1168"/>
      <c r="Z75" s="1168"/>
      <c r="AA75" s="1672"/>
      <c r="AB75" s="572"/>
      <c r="AC75" s="572"/>
      <c r="AD75" s="572"/>
      <c r="AE75" s="572"/>
    </row>
    <row s="4068" customFormat="1" customHeight="1" ht="11.25">
      <c r="A76" s="994"/>
      <c r="B76" s="1676"/>
      <c r="C76" s="1676"/>
      <c r="D76" s="347"/>
      <c r="K76" s="1168"/>
      <c r="L76" s="1676"/>
      <c r="M76" s="1676"/>
      <c r="N76" s="1168"/>
      <c r="O76" s="1168"/>
      <c r="P76" s="1168"/>
      <c r="Q76" s="1168"/>
      <c r="R76" s="1676"/>
      <c r="S76" s="1168"/>
      <c r="T76" s="1168"/>
      <c r="U76" s="550"/>
      <c r="V76" s="1168"/>
      <c r="W76" s="1168"/>
      <c r="X76" s="1168"/>
      <c r="Y76" s="1168"/>
      <c r="Z76" s="1168"/>
      <c r="AA76" s="1672"/>
      <c r="AB76" s="572"/>
      <c r="AC76" s="572"/>
      <c r="AD76" s="572"/>
      <c r="AE76" s="572"/>
    </row>
    <row s="4068" customFormat="1" customHeight="1" ht="11.25">
      <c r="A77" s="994"/>
      <c r="B77" s="1676"/>
      <c r="C77" s="1676"/>
      <c r="D77" s="347"/>
      <c r="K77" s="1168"/>
      <c r="L77" s="1676"/>
      <c r="M77" s="1676"/>
      <c r="N77" s="1168"/>
      <c r="O77" s="1168"/>
      <c r="P77" s="1168"/>
      <c r="Q77" s="1168"/>
      <c r="R77" s="1676"/>
      <c r="S77" s="1168"/>
      <c r="T77" s="1168"/>
      <c r="U77" s="550"/>
      <c r="V77" s="1168"/>
      <c r="W77" s="1168"/>
      <c r="X77" s="1168"/>
      <c r="Y77" s="1168"/>
      <c r="Z77" s="1168"/>
      <c r="AA77" s="1672"/>
      <c r="AB77" s="572"/>
      <c r="AC77" s="572"/>
      <c r="AD77" s="572"/>
      <c r="AE77" s="572"/>
    </row>
    <row s="4068" customFormat="1" customHeight="1" ht="11.25">
      <c r="A78" s="994"/>
      <c r="B78" s="1676"/>
      <c r="C78" s="1676"/>
      <c r="D78" s="347"/>
      <c r="K78" s="1168"/>
      <c r="L78" s="1676"/>
      <c r="M78" s="1676"/>
      <c r="N78" s="1168"/>
      <c r="O78" s="1168"/>
      <c r="P78" s="1168"/>
      <c r="Q78" s="1168"/>
      <c r="R78" s="1676"/>
      <c r="S78" s="1168"/>
      <c r="T78" s="1168"/>
      <c r="U78" s="550"/>
      <c r="V78" s="1168"/>
      <c r="W78" s="1168"/>
      <c r="X78" s="1168"/>
      <c r="Y78" s="1168"/>
      <c r="Z78" s="1168"/>
      <c r="AA78" s="1672"/>
      <c r="AB78" s="572"/>
      <c r="AC78" s="572"/>
      <c r="AD78" s="572"/>
      <c r="AE78" s="572"/>
    </row>
    <row s="4068" customFormat="1" customHeight="1" ht="11.25">
      <c r="A79" s="994"/>
      <c r="B79" s="1676"/>
      <c r="C79" s="1676"/>
      <c r="D79" s="347"/>
      <c r="K79" s="1168"/>
      <c r="L79" s="1676"/>
      <c r="M79" s="1676"/>
      <c r="N79" s="1168"/>
      <c r="O79" s="1168"/>
      <c r="P79" s="1168"/>
      <c r="Q79" s="1168"/>
      <c r="R79" s="1676"/>
      <c r="S79" s="1168"/>
      <c r="T79" s="1168"/>
      <c r="U79" s="550"/>
      <c r="V79" s="1168"/>
      <c r="W79" s="1168"/>
      <c r="X79" s="1168"/>
      <c r="Y79" s="1168"/>
      <c r="Z79" s="1168"/>
      <c r="AA79" s="1672"/>
      <c r="AB79" s="572"/>
      <c r="AC79" s="572"/>
      <c r="AD79" s="572"/>
      <c r="AE79" s="572"/>
    </row>
    <row s="4068" customFormat="1" customHeight="1" ht="11.25">
      <c r="A80" s="994"/>
      <c r="B80" s="1676"/>
      <c r="C80" s="1676"/>
      <c r="D80" s="347"/>
      <c r="K80" s="1168"/>
      <c r="L80" s="1676"/>
      <c r="M80" s="1676"/>
      <c r="N80" s="1168"/>
      <c r="O80" s="1168"/>
      <c r="P80" s="1168"/>
      <c r="Q80" s="1168"/>
      <c r="R80" s="1676"/>
      <c r="S80" s="1168"/>
      <c r="T80" s="1168"/>
      <c r="U80" s="550"/>
      <c r="V80" s="1168"/>
      <c r="W80" s="1168"/>
      <c r="X80" s="1168"/>
      <c r="Y80" s="1168"/>
      <c r="Z80" s="1168"/>
      <c r="AA80" s="1672"/>
      <c r="AB80" s="572"/>
      <c r="AC80" s="572"/>
      <c r="AD80" s="572"/>
      <c r="AE80" s="572"/>
    </row>
    <row s="4068" customFormat="1" customHeight="1" ht="11.25">
      <c r="A81" s="994"/>
      <c r="B81" s="1676"/>
      <c r="C81" s="1676"/>
      <c r="D81" s="347"/>
      <c r="K81" s="1168"/>
      <c r="L81" s="1676"/>
      <c r="M81" s="1676"/>
      <c r="N81" s="1168"/>
      <c r="O81" s="1168"/>
      <c r="P81" s="1168"/>
      <c r="Q81" s="1168"/>
      <c r="R81" s="1676"/>
      <c r="S81" s="1168"/>
      <c r="T81" s="1168"/>
      <c r="U81" s="550"/>
      <c r="V81" s="1168"/>
      <c r="W81" s="1168"/>
      <c r="X81" s="1168"/>
      <c r="Y81" s="1168"/>
      <c r="Z81" s="1168"/>
      <c r="AA81" s="1672"/>
      <c r="AB81" s="572"/>
      <c r="AC81" s="572"/>
      <c r="AD81" s="572"/>
      <c r="AE81" s="572"/>
    </row>
    <row s="4068" customFormat="1" customHeight="1" ht="11.25">
      <c r="A82" s="994"/>
      <c r="B82" s="1676"/>
      <c r="C82" s="1676"/>
      <c r="D82" s="347"/>
      <c r="K82" s="1168"/>
      <c r="L82" s="1676"/>
      <c r="M82" s="1676"/>
      <c r="N82" s="1168"/>
      <c r="O82" s="1168"/>
      <c r="P82" s="1168"/>
      <c r="Q82" s="1168"/>
      <c r="R82" s="1676"/>
      <c r="S82" s="1168"/>
      <c r="T82" s="1168"/>
      <c r="U82" s="550"/>
      <c r="V82" s="1168"/>
      <c r="W82" s="1168"/>
      <c r="X82" s="1168"/>
      <c r="Y82" s="1168"/>
      <c r="Z82" s="1168"/>
      <c r="AA82" s="1672"/>
      <c r="AB82" s="572"/>
      <c r="AC82" s="572"/>
      <c r="AD82" s="572"/>
      <c r="AE82" s="572"/>
    </row>
    <row s="4068" customFormat="1" customHeight="1" ht="11.25">
      <c r="A83" s="994"/>
      <c r="B83" s="1676"/>
      <c r="C83" s="1676"/>
      <c r="D83" s="347"/>
      <c r="K83" s="1168"/>
      <c r="L83" s="1676"/>
      <c r="M83" s="1676"/>
      <c r="N83" s="1168"/>
      <c r="O83" s="1168"/>
      <c r="P83" s="1168"/>
      <c r="Q83" s="1168"/>
      <c r="R83" s="1676"/>
      <c r="S83" s="1168"/>
      <c r="T83" s="1168"/>
      <c r="U83" s="550"/>
      <c r="V83" s="1168"/>
      <c r="W83" s="1168"/>
      <c r="X83" s="1168"/>
      <c r="Y83" s="1168"/>
      <c r="Z83" s="1168"/>
      <c r="AA83" s="1672"/>
      <c r="AB83" s="572"/>
      <c r="AC83" s="572"/>
      <c r="AD83" s="572"/>
      <c r="AE83" s="572"/>
    </row>
    <row s="4068" customFormat="1" customHeight="1" ht="11.25">
      <c r="A84" s="994"/>
      <c r="B84" s="1676"/>
      <c r="C84" s="1676"/>
      <c r="D84" s="347"/>
      <c r="K84" s="1168"/>
      <c r="L84" s="1676"/>
      <c r="M84" s="1676"/>
      <c r="N84" s="1168"/>
      <c r="O84" s="1168"/>
      <c r="P84" s="1168"/>
      <c r="Q84" s="1168"/>
      <c r="R84" s="1676"/>
      <c r="S84" s="1168"/>
      <c r="T84" s="1168"/>
      <c r="U84" s="550"/>
      <c r="V84" s="1168"/>
      <c r="W84" s="1168"/>
      <c r="X84" s="1168"/>
      <c r="Y84" s="1168"/>
      <c r="Z84" s="1168"/>
      <c r="AA84" s="1672"/>
      <c r="AB84" s="572"/>
      <c r="AC84" s="572"/>
      <c r="AD84" s="572"/>
      <c r="AE84" s="572"/>
    </row>
    <row s="4068" customFormat="1" customHeight="1" ht="11.25">
      <c r="A85" s="994"/>
      <c r="B85" s="1676"/>
      <c r="C85" s="1676"/>
      <c r="D85" s="347"/>
      <c r="K85" s="1168"/>
      <c r="L85" s="1676"/>
      <c r="M85" s="1676"/>
      <c r="N85" s="1168"/>
      <c r="O85" s="1168"/>
      <c r="P85" s="1168"/>
      <c r="Q85" s="1168"/>
      <c r="R85" s="1676"/>
      <c r="S85" s="1168"/>
      <c r="T85" s="1168"/>
      <c r="U85" s="550"/>
      <c r="V85" s="1168"/>
      <c r="W85" s="1168"/>
      <c r="X85" s="1168"/>
      <c r="Y85" s="1168"/>
      <c r="Z85" s="1168"/>
      <c r="AA85" s="1672"/>
      <c r="AB85" s="572"/>
      <c r="AC85" s="572"/>
      <c r="AD85" s="572"/>
      <c r="AE85" s="572"/>
    </row>
    <row s="4068" customFormat="1" customHeight="1" ht="11.25">
      <c r="A86" s="994"/>
      <c r="B86" s="1676"/>
      <c r="C86" s="1676"/>
      <c r="D86" s="347"/>
      <c r="K86" s="1168"/>
      <c r="L86" s="1676"/>
      <c r="M86" s="1676"/>
      <c r="N86" s="1168"/>
      <c r="O86" s="1168"/>
      <c r="P86" s="1168"/>
      <c r="Q86" s="1168"/>
      <c r="R86" s="1676"/>
      <c r="S86" s="1168"/>
      <c r="T86" s="1168"/>
      <c r="U86" s="550"/>
      <c r="V86" s="1168"/>
      <c r="W86" s="1168"/>
      <c r="X86" s="1168"/>
      <c r="Y86" s="1168"/>
      <c r="Z86" s="1168"/>
      <c r="AA86" s="1672"/>
      <c r="AB86" s="572"/>
      <c r="AC86" s="572"/>
      <c r="AD86" s="572"/>
      <c r="AE86" s="572"/>
    </row>
    <row s="4068" customFormat="1" customHeight="1" ht="11.25">
      <c r="A87" s="994"/>
      <c r="B87" s="1676"/>
      <c r="C87" s="1676"/>
      <c r="D87" s="347"/>
      <c r="K87" s="1168"/>
      <c r="L87" s="1676"/>
      <c r="M87" s="1676"/>
      <c r="N87" s="1168"/>
      <c r="O87" s="1168"/>
      <c r="P87" s="1168"/>
      <c r="Q87" s="1168"/>
      <c r="R87" s="1676"/>
      <c r="S87" s="1168"/>
      <c r="T87" s="1168"/>
      <c r="U87" s="550"/>
      <c r="V87" s="1168"/>
      <c r="W87" s="1168"/>
      <c r="X87" s="1168"/>
      <c r="Y87" s="1168"/>
      <c r="Z87" s="1168"/>
      <c r="AA87" s="1672"/>
      <c r="AB87" s="572"/>
      <c r="AC87" s="572"/>
      <c r="AD87" s="572"/>
      <c r="AE87" s="572"/>
    </row>
    <row s="4068" customFormat="1" customHeight="1" ht="11.25">
      <c r="A88" s="994"/>
      <c r="B88" s="1676"/>
      <c r="C88" s="1676"/>
      <c r="D88" s="347"/>
      <c r="K88" s="1168"/>
      <c r="L88" s="1676"/>
      <c r="M88" s="1676"/>
      <c r="N88" s="1168"/>
      <c r="O88" s="1168"/>
      <c r="P88" s="1168"/>
      <c r="Q88" s="1168"/>
      <c r="R88" s="1676"/>
      <c r="S88" s="1168"/>
      <c r="T88" s="1168"/>
      <c r="U88" s="550"/>
      <c r="V88" s="1168"/>
      <c r="W88" s="1168"/>
      <c r="X88" s="1168"/>
      <c r="Y88" s="1168"/>
      <c r="Z88" s="1168"/>
      <c r="AA88" s="1672"/>
      <c r="AB88" s="572"/>
      <c r="AC88" s="572"/>
      <c r="AD88" s="572"/>
      <c r="AE88" s="572"/>
    </row>
    <row s="4068" customFormat="1" customHeight="1" ht="11.25">
      <c r="A89" s="994"/>
      <c r="B89" s="1676"/>
      <c r="C89" s="1676"/>
      <c r="D89" s="347"/>
      <c r="K89" s="1168"/>
      <c r="L89" s="1676"/>
      <c r="M89" s="1676"/>
      <c r="N89" s="1168"/>
      <c r="O89" s="1168"/>
      <c r="P89" s="1168"/>
      <c r="Q89" s="1168"/>
      <c r="R89" s="1676"/>
      <c r="S89" s="1168"/>
      <c r="T89" s="1168"/>
      <c r="U89" s="550"/>
      <c r="V89" s="1168"/>
      <c r="W89" s="1168"/>
      <c r="X89" s="1168"/>
      <c r="Y89" s="1168"/>
      <c r="Z89" s="1168"/>
      <c r="AA89" s="1672"/>
      <c r="AB89" s="572"/>
      <c r="AC89" s="572"/>
      <c r="AD89" s="572"/>
      <c r="AE89" s="572"/>
    </row>
    <row s="4068" customFormat="1" customHeight="1" ht="11.25">
      <c r="A90" s="994"/>
      <c r="B90" s="1676"/>
      <c r="C90" s="1676"/>
      <c r="D90" s="347"/>
      <c r="K90" s="1168"/>
      <c r="L90" s="1676"/>
      <c r="M90" s="1676"/>
      <c r="N90" s="1168"/>
      <c r="O90" s="1168"/>
      <c r="P90" s="1168"/>
      <c r="Q90" s="1168"/>
      <c r="R90" s="1676"/>
      <c r="S90" s="1168"/>
      <c r="T90" s="1168"/>
      <c r="U90" s="550"/>
      <c r="V90" s="1168"/>
      <c r="W90" s="1168"/>
      <c r="X90" s="1168"/>
      <c r="Y90" s="1168"/>
      <c r="Z90" s="1168"/>
      <c r="AA90" s="1672"/>
      <c r="AB90" s="572"/>
      <c r="AC90" s="572"/>
      <c r="AD90" s="572"/>
      <c r="AE90" s="572"/>
    </row>
    <row s="4068" customFormat="1" customHeight="1" ht="11.25">
      <c r="A91" s="994"/>
      <c r="B91" s="1676"/>
      <c r="C91" s="1676"/>
      <c r="D91" s="347"/>
      <c r="K91" s="1168"/>
      <c r="L91" s="1676"/>
      <c r="M91" s="1676"/>
      <c r="N91" s="1168"/>
      <c r="O91" s="1168"/>
      <c r="P91" s="1168"/>
      <c r="Q91" s="1168"/>
      <c r="R91" s="1676"/>
      <c r="S91" s="1168"/>
      <c r="T91" s="1168"/>
      <c r="U91" s="550"/>
      <c r="V91" s="1168"/>
      <c r="W91" s="1168"/>
      <c r="X91" s="1168"/>
      <c r="Y91" s="1168"/>
      <c r="Z91" s="1168"/>
      <c r="AA91" s="1672"/>
      <c r="AB91" s="572"/>
      <c r="AC91" s="572"/>
      <c r="AD91" s="572"/>
      <c r="AE91" s="572"/>
    </row>
    <row s="4068" customFormat="1" customHeight="1" ht="11.25">
      <c r="A92" s="994"/>
      <c r="B92" s="1676"/>
      <c r="C92" s="1676"/>
      <c r="D92" s="347"/>
      <c r="K92" s="1168"/>
      <c r="L92" s="1676"/>
      <c r="M92" s="1676"/>
      <c r="N92" s="1168"/>
      <c r="O92" s="1168"/>
      <c r="P92" s="1168"/>
      <c r="Q92" s="1168"/>
      <c r="R92" s="1676"/>
      <c r="S92" s="1168"/>
      <c r="T92" s="1168"/>
      <c r="U92" s="550"/>
      <c r="V92" s="1168"/>
      <c r="W92" s="1168"/>
      <c r="X92" s="1168"/>
      <c r="Y92" s="1168"/>
      <c r="Z92" s="1168"/>
      <c r="AA92" s="1672"/>
      <c r="AB92" s="572"/>
      <c r="AC92" s="572"/>
      <c r="AD92" s="572"/>
      <c r="AE92" s="572"/>
    </row>
    <row s="4068" customFormat="1" customHeight="1" ht="11.25">
      <c r="A93" s="994"/>
      <c r="B93" s="1676"/>
      <c r="C93" s="1676"/>
      <c r="D93" s="347"/>
      <c r="K93" s="1168"/>
      <c r="L93" s="1676"/>
      <c r="M93" s="1676"/>
      <c r="N93" s="1168"/>
      <c r="O93" s="1168"/>
      <c r="P93" s="1168"/>
      <c r="Q93" s="1168"/>
      <c r="R93" s="1676"/>
      <c r="S93" s="1168"/>
      <c r="T93" s="1168"/>
      <c r="U93" s="550"/>
      <c r="V93" s="1168"/>
      <c r="W93" s="1168"/>
      <c r="X93" s="1168"/>
      <c r="Y93" s="1168"/>
      <c r="Z93" s="1168"/>
      <c r="AA93" s="1672"/>
      <c r="AB93" s="572"/>
      <c r="AC93" s="572"/>
      <c r="AD93" s="572"/>
      <c r="AE93" s="572"/>
    </row>
    <row s="4068" customFormat="1" customHeight="1" ht="11.25">
      <c r="A94" s="994"/>
      <c r="B94" s="1676"/>
      <c r="C94" s="1676"/>
      <c r="D94" s="347"/>
      <c r="K94" s="1168"/>
      <c r="L94" s="1676"/>
      <c r="M94" s="1676"/>
      <c r="N94" s="1168"/>
      <c r="O94" s="1168"/>
      <c r="P94" s="1168"/>
      <c r="Q94" s="1168"/>
      <c r="R94" s="1676"/>
      <c r="S94" s="1168"/>
      <c r="T94" s="1168"/>
      <c r="U94" s="550"/>
      <c r="V94" s="1168"/>
      <c r="W94" s="1168"/>
      <c r="X94" s="1168"/>
      <c r="Y94" s="1168"/>
      <c r="Z94" s="1168"/>
      <c r="AA94" s="1672"/>
      <c r="AB94" s="572"/>
      <c r="AC94" s="572"/>
      <c r="AD94" s="572"/>
      <c r="AE94" s="572"/>
    </row>
    <row s="4068" customFormat="1" customHeight="1" ht="11.25">
      <c r="A95" s="994"/>
      <c r="B95" s="1676"/>
      <c r="C95" s="1676"/>
      <c r="D95" s="347"/>
      <c r="K95" s="1168"/>
      <c r="L95" s="1676"/>
      <c r="M95" s="1676"/>
      <c r="N95" s="1168"/>
      <c r="O95" s="1168"/>
      <c r="P95" s="1168"/>
      <c r="Q95" s="1168"/>
      <c r="R95" s="1676"/>
      <c r="S95" s="1168"/>
      <c r="T95" s="1168"/>
      <c r="U95" s="550"/>
      <c r="V95" s="1168"/>
      <c r="W95" s="1168"/>
      <c r="X95" s="1168"/>
      <c r="Y95" s="1168"/>
      <c r="Z95" s="1168"/>
      <c r="AA95" s="1672"/>
      <c r="AB95" s="572"/>
      <c r="AC95" s="572"/>
      <c r="AD95" s="572"/>
      <c r="AE95" s="572"/>
    </row>
    <row s="4068" customFormat="1" customHeight="1" ht="11.25">
      <c r="A96" s="994"/>
      <c r="B96" s="1676"/>
      <c r="C96" s="1676"/>
      <c r="D96" s="347"/>
      <c r="K96" s="1168"/>
      <c r="L96" s="1676"/>
      <c r="M96" s="1676"/>
      <c r="N96" s="1168"/>
      <c r="O96" s="1168"/>
      <c r="P96" s="1168"/>
      <c r="Q96" s="1168"/>
      <c r="R96" s="1676"/>
      <c r="S96" s="1168"/>
      <c r="T96" s="1168"/>
      <c r="U96" s="550"/>
      <c r="V96" s="1168"/>
      <c r="W96" s="1168"/>
      <c r="X96" s="1168"/>
      <c r="Y96" s="1168"/>
      <c r="Z96" s="1168"/>
      <c r="AA96" s="1672"/>
      <c r="AB96" s="572"/>
      <c r="AC96" s="572"/>
      <c r="AD96" s="572"/>
      <c r="AE96" s="572"/>
    </row>
    <row s="4068" customFormat="1" customHeight="1" ht="11.25">
      <c r="A97" s="994"/>
      <c r="B97" s="1676"/>
      <c r="C97" s="1676"/>
      <c r="D97" s="347"/>
      <c r="K97" s="1168"/>
      <c r="L97" s="1676"/>
      <c r="M97" s="1676"/>
      <c r="N97" s="1168"/>
      <c r="O97" s="1168"/>
      <c r="P97" s="1168"/>
      <c r="Q97" s="1168"/>
      <c r="R97" s="1676"/>
      <c r="S97" s="1168"/>
      <c r="T97" s="1168"/>
      <c r="U97" s="550"/>
      <c r="V97" s="1168"/>
      <c r="W97" s="1168"/>
      <c r="X97" s="1168"/>
      <c r="Y97" s="1168"/>
      <c r="Z97" s="1168"/>
      <c r="AA97" s="1672"/>
      <c r="AB97" s="572"/>
      <c r="AC97" s="572"/>
      <c r="AD97" s="572"/>
      <c r="AE97" s="572"/>
    </row>
    <row s="4068" customFormat="1" customHeight="1" ht="11.25">
      <c r="A98" s="994"/>
      <c r="B98" s="1676"/>
      <c r="C98" s="1676"/>
      <c r="D98" s="347"/>
      <c r="K98" s="1168"/>
      <c r="L98" s="1676"/>
      <c r="M98" s="1676"/>
      <c r="N98" s="1168"/>
      <c r="O98" s="1168"/>
      <c r="P98" s="1168"/>
      <c r="Q98" s="1168"/>
      <c r="R98" s="1676"/>
      <c r="S98" s="1168"/>
      <c r="T98" s="1168"/>
      <c r="U98" s="550"/>
      <c r="V98" s="1168"/>
      <c r="W98" s="1168"/>
      <c r="X98" s="1168"/>
      <c r="Y98" s="1168"/>
      <c r="Z98" s="1168"/>
      <c r="AA98" s="1672"/>
      <c r="AB98" s="572"/>
      <c r="AC98" s="572"/>
      <c r="AD98" s="572"/>
      <c r="AE98" s="572"/>
    </row>
    <row s="4068" customFormat="1" customHeight="1" ht="11.25">
      <c r="A99" s="994"/>
      <c r="B99" s="1676"/>
      <c r="C99" s="1676"/>
      <c r="D99" s="347"/>
      <c r="K99" s="1168"/>
      <c r="L99" s="1676"/>
      <c r="M99" s="1676"/>
      <c r="N99" s="1168"/>
      <c r="O99" s="1168"/>
      <c r="P99" s="1168"/>
      <c r="Q99" s="1168"/>
      <c r="R99" s="1676"/>
      <c r="S99" s="1168"/>
      <c r="T99" s="1168"/>
      <c r="U99" s="550"/>
      <c r="V99" s="1168"/>
      <c r="W99" s="1168"/>
      <c r="X99" s="1168"/>
      <c r="Y99" s="1168"/>
      <c r="Z99" s="1168"/>
      <c r="AA99" s="1672"/>
      <c r="AB99" s="572"/>
      <c r="AC99" s="572"/>
      <c r="AD99" s="572"/>
      <c r="AE99" s="572"/>
    </row>
    <row s="4068" customFormat="1" customHeight="1" ht="11.25">
      <c r="A100" s="994"/>
      <c r="B100" s="1676"/>
      <c r="C100" s="1676"/>
      <c r="D100" s="347"/>
      <c r="K100" s="1168"/>
      <c r="L100" s="1676"/>
      <c r="M100" s="1676"/>
      <c r="N100" s="1168"/>
      <c r="O100" s="1168"/>
      <c r="P100" s="1168"/>
      <c r="Q100" s="1168"/>
      <c r="R100" s="1676"/>
      <c r="S100" s="1168"/>
      <c r="T100" s="1168"/>
      <c r="U100" s="550"/>
      <c r="V100" s="1168"/>
      <c r="W100" s="1168"/>
      <c r="X100" s="1168"/>
      <c r="Y100" s="1168"/>
      <c r="Z100" s="1168"/>
      <c r="AA100" s="1672"/>
      <c r="AB100" s="572"/>
      <c r="AC100" s="572"/>
      <c r="AD100" s="572"/>
      <c r="AE100" s="572"/>
    </row>
    <row s="4068" customFormat="1" customHeight="1" ht="11.25">
      <c r="A101" s="994"/>
      <c r="B101" s="1676"/>
      <c r="C101" s="1676"/>
      <c r="D101" s="347"/>
      <c r="K101" s="1168"/>
      <c r="L101" s="1676"/>
      <c r="M101" s="1676"/>
      <c r="N101" s="1168"/>
      <c r="O101" s="1168"/>
      <c r="P101" s="1168"/>
      <c r="Q101" s="1168"/>
      <c r="R101" s="1676"/>
      <c r="S101" s="1168"/>
      <c r="T101" s="1168"/>
      <c r="U101" s="550"/>
      <c r="V101" s="1168"/>
      <c r="W101" s="1168"/>
      <c r="X101" s="1168"/>
      <c r="Y101" s="1168"/>
      <c r="Z101" s="1168"/>
      <c r="AA101" s="1672"/>
      <c r="AB101" s="572"/>
      <c r="AC101" s="572"/>
      <c r="AD101" s="572"/>
      <c r="AE101" s="572"/>
    </row>
    <row s="4068" customFormat="1" customHeight="1" ht="11.25">
      <c r="A102" s="994"/>
      <c r="B102" s="1676"/>
      <c r="C102" s="1676"/>
      <c r="D102" s="347"/>
      <c r="K102" s="1168"/>
      <c r="L102" s="1676"/>
      <c r="M102" s="1676"/>
      <c r="N102" s="1168"/>
      <c r="O102" s="1168"/>
      <c r="P102" s="1168"/>
      <c r="Q102" s="1168"/>
      <c r="R102" s="1676"/>
      <c r="S102" s="1168"/>
      <c r="T102" s="1168"/>
      <c r="U102" s="550"/>
      <c r="V102" s="1168"/>
      <c r="W102" s="1168"/>
      <c r="X102" s="1168"/>
      <c r="Y102" s="1168"/>
      <c r="Z102" s="1168"/>
      <c r="AA102" s="1672"/>
      <c r="AB102" s="572"/>
      <c r="AC102" s="572"/>
      <c r="AD102" s="572"/>
      <c r="AE102" s="572"/>
    </row>
    <row s="4068" customFormat="1" customHeight="1" ht="11.25">
      <c r="A103" s="994"/>
      <c r="B103" s="1676"/>
      <c r="C103" s="1676"/>
      <c r="D103" s="347"/>
      <c r="K103" s="1168"/>
      <c r="L103" s="1676"/>
      <c r="M103" s="1676"/>
      <c r="N103" s="1168"/>
      <c r="O103" s="1168"/>
      <c r="P103" s="1168"/>
      <c r="Q103" s="1168"/>
      <c r="R103" s="1676"/>
      <c r="S103" s="1168"/>
      <c r="T103" s="1168"/>
      <c r="U103" s="550"/>
      <c r="V103" s="1168"/>
      <c r="W103" s="1168"/>
      <c r="X103" s="1168"/>
      <c r="Y103" s="1168"/>
      <c r="Z103" s="1168"/>
      <c r="AA103" s="1672"/>
      <c r="AB103" s="572"/>
      <c r="AC103" s="572"/>
      <c r="AD103" s="572"/>
      <c r="AE103" s="572"/>
    </row>
    <row s="4068" customFormat="1" customHeight="1" ht="11.25">
      <c r="A104" s="994"/>
      <c r="B104" s="1676"/>
      <c r="C104" s="1676"/>
      <c r="D104" s="347"/>
      <c r="K104" s="1168"/>
      <c r="L104" s="1676"/>
      <c r="M104" s="1676"/>
      <c r="N104" s="1168"/>
      <c r="O104" s="1168"/>
      <c r="P104" s="1168"/>
      <c r="Q104" s="1168"/>
      <c r="R104" s="1676"/>
      <c r="S104" s="1168"/>
      <c r="T104" s="1168"/>
      <c r="U104" s="550"/>
      <c r="V104" s="1168"/>
      <c r="W104" s="1168"/>
      <c r="X104" s="1168"/>
      <c r="Y104" s="1168"/>
      <c r="Z104" s="1168"/>
      <c r="AA104" s="1672"/>
      <c r="AB104" s="572"/>
      <c r="AC104" s="572"/>
      <c r="AD104" s="572"/>
      <c r="AE104" s="572"/>
    </row>
    <row s="4068" customFormat="1" customHeight="1" ht="11.25">
      <c r="A105" s="994"/>
      <c r="B105" s="1676"/>
      <c r="C105" s="1676"/>
      <c r="D105" s="347"/>
      <c r="K105" s="1168"/>
      <c r="L105" s="1676"/>
      <c r="M105" s="1676"/>
      <c r="N105" s="1168"/>
      <c r="O105" s="1168"/>
      <c r="P105" s="1168"/>
      <c r="Q105" s="1168"/>
      <c r="R105" s="1676"/>
      <c r="S105" s="1168"/>
      <c r="T105" s="1168"/>
      <c r="U105" s="550"/>
      <c r="V105" s="1168"/>
      <c r="W105" s="1168"/>
      <c r="X105" s="1168"/>
      <c r="Y105" s="1168"/>
      <c r="Z105" s="1168"/>
      <c r="AA105" s="1672"/>
      <c r="AB105" s="572"/>
      <c r="AC105" s="572"/>
      <c r="AD105" s="572"/>
      <c r="AE105" s="572"/>
    </row>
    <row s="4068" customFormat="1" customHeight="1" ht="11.25">
      <c r="A106" s="994"/>
      <c r="B106" s="1676"/>
      <c r="C106" s="1676"/>
      <c r="D106" s="347"/>
      <c r="K106" s="1168"/>
      <c r="L106" s="1676"/>
      <c r="M106" s="1676"/>
      <c r="N106" s="1168"/>
      <c r="O106" s="1168"/>
      <c r="P106" s="1168"/>
      <c r="Q106" s="1168"/>
      <c r="R106" s="1676"/>
      <c r="S106" s="1168"/>
      <c r="T106" s="1168"/>
      <c r="U106" s="550"/>
      <c r="V106" s="1168"/>
      <c r="W106" s="1168"/>
      <c r="X106" s="1168"/>
      <c r="Y106" s="1168"/>
      <c r="Z106" s="1168"/>
      <c r="AA106" s="1672"/>
      <c r="AB106" s="572"/>
      <c r="AC106" s="572"/>
      <c r="AD106" s="572"/>
      <c r="AE106" s="572"/>
    </row>
    <row s="4068" customFormat="1" customHeight="1" ht="11.25">
      <c r="A107" s="994"/>
      <c r="B107" s="1676"/>
      <c r="C107" s="1676"/>
      <c r="D107" s="347"/>
      <c r="K107" s="1168"/>
      <c r="L107" s="1676"/>
      <c r="M107" s="1676"/>
      <c r="N107" s="1168"/>
      <c r="O107" s="1168"/>
      <c r="P107" s="1168"/>
      <c r="Q107" s="1168"/>
      <c r="R107" s="1676"/>
      <c r="S107" s="1168"/>
      <c r="T107" s="1168"/>
      <c r="U107" s="550"/>
      <c r="V107" s="1168"/>
      <c r="W107" s="1168"/>
      <c r="X107" s="1168"/>
      <c r="Y107" s="1168"/>
      <c r="Z107" s="1168"/>
      <c r="AA107" s="1672"/>
      <c r="AB107" s="572"/>
      <c r="AC107" s="572"/>
      <c r="AD107" s="572"/>
      <c r="AE107" s="572"/>
    </row>
    <row s="4068" customFormat="1" customHeight="1" ht="11.25">
      <c r="A108" s="994"/>
      <c r="B108" s="1676"/>
      <c r="C108" s="1676"/>
      <c r="D108" s="347"/>
      <c r="K108" s="1168"/>
      <c r="L108" s="1676"/>
      <c r="M108" s="1676"/>
      <c r="N108" s="1168"/>
      <c r="O108" s="1168"/>
      <c r="P108" s="1168"/>
      <c r="Q108" s="1168"/>
      <c r="R108" s="1676"/>
      <c r="S108" s="1168"/>
      <c r="T108" s="1168"/>
      <c r="U108" s="550"/>
      <c r="V108" s="1168"/>
      <c r="W108" s="1168"/>
      <c r="X108" s="1168"/>
      <c r="Y108" s="1168"/>
      <c r="Z108" s="1168"/>
      <c r="AA108" s="1672"/>
      <c r="AB108" s="572"/>
      <c r="AC108" s="572"/>
      <c r="AD108" s="572"/>
      <c r="AE108" s="572"/>
    </row>
    <row s="4068" customFormat="1" customHeight="1" ht="11.25">
      <c r="A109" s="994"/>
      <c r="B109" s="1676"/>
      <c r="C109" s="1676"/>
      <c r="D109" s="347"/>
      <c r="K109" s="1168"/>
      <c r="L109" s="1676"/>
      <c r="M109" s="1676"/>
      <c r="N109" s="1168"/>
      <c r="O109" s="1168"/>
      <c r="P109" s="1168"/>
      <c r="Q109" s="1168"/>
      <c r="R109" s="1676"/>
      <c r="S109" s="1168"/>
      <c r="T109" s="1168"/>
      <c r="U109" s="550"/>
      <c r="V109" s="1168"/>
      <c r="W109" s="1168"/>
      <c r="X109" s="1168"/>
      <c r="Y109" s="1168"/>
      <c r="Z109" s="1168"/>
      <c r="AA109" s="1672"/>
      <c r="AB109" s="572"/>
      <c r="AC109" s="572"/>
      <c r="AD109" s="572"/>
      <c r="AE109" s="572"/>
    </row>
    <row s="4068" customFormat="1" customHeight="1" ht="11.25">
      <c r="A110" s="994"/>
      <c r="B110" s="1676"/>
      <c r="C110" s="1676"/>
      <c r="D110" s="347"/>
      <c r="K110" s="1168"/>
      <c r="L110" s="1676"/>
      <c r="M110" s="1676"/>
      <c r="N110" s="1168"/>
      <c r="O110" s="1168"/>
      <c r="P110" s="1168"/>
      <c r="Q110" s="1168"/>
      <c r="R110" s="1676"/>
      <c r="S110" s="1168"/>
      <c r="T110" s="1168"/>
      <c r="U110" s="550"/>
      <c r="V110" s="1168"/>
      <c r="W110" s="1168"/>
      <c r="X110" s="1168"/>
      <c r="Y110" s="1168"/>
      <c r="Z110" s="1168"/>
      <c r="AA110" s="1672"/>
      <c r="AB110" s="572"/>
      <c r="AC110" s="572"/>
      <c r="AD110" s="572"/>
      <c r="AE110" s="572"/>
    </row>
    <row s="4068" customFormat="1" customHeight="1" ht="11.25">
      <c r="A111" s="994"/>
      <c r="B111" s="1676"/>
      <c r="C111" s="1676"/>
      <c r="D111" s="347"/>
      <c r="K111" s="1168"/>
      <c r="L111" s="1676"/>
      <c r="M111" s="1676"/>
      <c r="N111" s="1168"/>
      <c r="O111" s="1168"/>
      <c r="P111" s="1168"/>
      <c r="Q111" s="1168"/>
      <c r="R111" s="1676"/>
      <c r="S111" s="1168"/>
      <c r="T111" s="1168"/>
      <c r="U111" s="550"/>
      <c r="V111" s="1168"/>
      <c r="W111" s="1168"/>
      <c r="X111" s="1168"/>
      <c r="Y111" s="1168"/>
      <c r="Z111" s="1168"/>
      <c r="AA111" s="1672"/>
      <c r="AB111" s="572"/>
      <c r="AC111" s="572"/>
      <c r="AD111" s="572"/>
      <c r="AE111" s="572"/>
    </row>
    <row s="4068" customFormat="1" customHeight="1" ht="11.25">
      <c r="A112" s="994"/>
      <c r="B112" s="1676"/>
      <c r="C112" s="1676"/>
      <c r="D112" s="347"/>
      <c r="K112" s="1168"/>
      <c r="L112" s="1676"/>
      <c r="M112" s="1676"/>
      <c r="N112" s="1168"/>
      <c r="O112" s="1168"/>
      <c r="P112" s="1168"/>
      <c r="Q112" s="1168"/>
      <c r="R112" s="1676"/>
      <c r="S112" s="1168"/>
      <c r="T112" s="1168"/>
      <c r="U112" s="550"/>
      <c r="V112" s="1168"/>
      <c r="W112" s="1168"/>
      <c r="X112" s="1168"/>
      <c r="Y112" s="1168"/>
      <c r="Z112" s="1168"/>
      <c r="AA112" s="1672"/>
      <c r="AB112" s="572"/>
      <c r="AC112" s="572"/>
      <c r="AD112" s="572"/>
      <c r="AE112" s="572"/>
    </row>
    <row s="4068" customFormat="1" customHeight="1" ht="11.25">
      <c r="A113" s="994"/>
      <c r="B113" s="1676"/>
      <c r="C113" s="1676"/>
      <c r="D113" s="347"/>
      <c r="K113" s="1168"/>
      <c r="L113" s="1676"/>
      <c r="M113" s="1676"/>
      <c r="N113" s="1168"/>
      <c r="O113" s="1168"/>
      <c r="P113" s="1168"/>
      <c r="Q113" s="1168"/>
      <c r="R113" s="1676"/>
      <c r="S113" s="1168"/>
      <c r="T113" s="1168"/>
      <c r="U113" s="550"/>
      <c r="V113" s="1168"/>
      <c r="W113" s="1168"/>
      <c r="X113" s="1168"/>
      <c r="Y113" s="1168"/>
      <c r="Z113" s="1168"/>
      <c r="AA113" s="1672"/>
      <c r="AB113" s="572"/>
      <c r="AC113" s="572"/>
      <c r="AD113" s="572"/>
      <c r="AE113" s="572"/>
    </row>
    <row s="4068" customFormat="1" customHeight="1" ht="11.25">
      <c r="A114" s="994"/>
      <c r="B114" s="1676"/>
      <c r="C114" s="1676"/>
      <c r="D114" s="347"/>
      <c r="K114" s="1168"/>
      <c r="L114" s="1676"/>
      <c r="M114" s="1676"/>
      <c r="N114" s="1168"/>
      <c r="O114" s="1168"/>
      <c r="P114" s="1168"/>
      <c r="Q114" s="1168"/>
      <c r="R114" s="1676"/>
      <c r="S114" s="1168"/>
      <c r="T114" s="1168"/>
      <c r="U114" s="550"/>
      <c r="V114" s="1168"/>
      <c r="W114" s="1168"/>
      <c r="X114" s="1168"/>
      <c r="Y114" s="1168"/>
      <c r="Z114" s="1168"/>
      <c r="AA114" s="1672"/>
      <c r="AB114" s="572"/>
      <c r="AC114" s="572"/>
      <c r="AD114" s="572"/>
      <c r="AE114" s="572"/>
    </row>
    <row s="4068" customFormat="1" customHeight="1" ht="11.25">
      <c r="A115" s="994"/>
      <c r="B115" s="1676"/>
      <c r="C115" s="1676"/>
      <c r="D115" s="347"/>
      <c r="K115" s="1168"/>
      <c r="L115" s="1676"/>
      <c r="M115" s="1676"/>
      <c r="N115" s="1168"/>
      <c r="O115" s="1168"/>
      <c r="P115" s="1168"/>
      <c r="Q115" s="1168"/>
      <c r="R115" s="1676"/>
      <c r="S115" s="1168"/>
      <c r="T115" s="1168"/>
      <c r="U115" s="550"/>
      <c r="V115" s="1168"/>
      <c r="W115" s="1168"/>
      <c r="X115" s="1168"/>
      <c r="Y115" s="1168"/>
      <c r="Z115" s="1168"/>
      <c r="AA115" s="1672"/>
      <c r="AB115" s="572"/>
      <c r="AC115" s="572"/>
      <c r="AD115" s="572"/>
      <c r="AE115" s="572"/>
    </row>
    <row s="4068" customFormat="1" customHeight="1" ht="11.25">
      <c r="A116" s="994"/>
      <c r="B116" s="1676"/>
      <c r="C116" s="1676"/>
      <c r="D116" s="347"/>
      <c r="K116" s="1168"/>
      <c r="L116" s="1676"/>
      <c r="M116" s="1676"/>
      <c r="N116" s="1168"/>
      <c r="O116" s="1168"/>
      <c r="P116" s="1168"/>
      <c r="Q116" s="1168"/>
      <c r="R116" s="1676"/>
      <c r="S116" s="1168"/>
      <c r="T116" s="1168"/>
      <c r="U116" s="550"/>
      <c r="V116" s="1168"/>
      <c r="W116" s="1168"/>
      <c r="X116" s="1168"/>
      <c r="Y116" s="1168"/>
      <c r="Z116" s="1168"/>
      <c r="AA116" s="1672"/>
      <c r="AB116" s="572"/>
      <c r="AC116" s="572"/>
      <c r="AD116" s="572"/>
      <c r="AE116" s="572"/>
    </row>
    <row s="4068" customFormat="1" customHeight="1" ht="11.25">
      <c r="A117" s="994"/>
      <c r="B117" s="1676"/>
      <c r="C117" s="1676"/>
      <c r="D117" s="347"/>
      <c r="K117" s="1168"/>
      <c r="L117" s="1676"/>
      <c r="M117" s="1676"/>
      <c r="N117" s="1168"/>
      <c r="O117" s="1168"/>
      <c r="P117" s="1168"/>
      <c r="Q117" s="1168"/>
      <c r="R117" s="1676"/>
      <c r="S117" s="1168"/>
      <c r="T117" s="1168"/>
      <c r="U117" s="550"/>
      <c r="V117" s="1168"/>
      <c r="W117" s="1168"/>
      <c r="X117" s="1168"/>
      <c r="Y117" s="1168"/>
      <c r="Z117" s="1168"/>
      <c r="AA117" s="1672"/>
      <c r="AB117" s="572"/>
      <c r="AC117" s="572"/>
      <c r="AD117" s="572"/>
      <c r="AE117" s="572"/>
    </row>
    <row s="4068" customFormat="1" customHeight="1" ht="11.25">
      <c r="A118" s="994"/>
      <c r="B118" s="1676"/>
      <c r="C118" s="1676"/>
      <c r="D118" s="347"/>
      <c r="K118" s="1168"/>
      <c r="L118" s="1676"/>
      <c r="M118" s="1676"/>
      <c r="N118" s="1168"/>
      <c r="O118" s="1168"/>
      <c r="P118" s="1168"/>
      <c r="Q118" s="1168"/>
      <c r="R118" s="1676"/>
      <c r="S118" s="1168"/>
      <c r="T118" s="1168"/>
      <c r="U118" s="550"/>
      <c r="V118" s="1168"/>
      <c r="W118" s="1168"/>
      <c r="X118" s="1168"/>
      <c r="Y118" s="1168"/>
      <c r="Z118" s="1168"/>
      <c r="AA118" s="1672"/>
      <c r="AB118" s="572"/>
      <c r="AC118" s="572"/>
      <c r="AD118" s="572"/>
      <c r="AE118" s="572"/>
    </row>
    <row s="4068" customFormat="1" customHeight="1" ht="11.25">
      <c r="A119" s="994"/>
      <c r="B119" s="1676"/>
      <c r="C119" s="1676"/>
      <c r="D119" s="347"/>
      <c r="K119" s="1168"/>
      <c r="L119" s="1676"/>
      <c r="M119" s="1676"/>
      <c r="N119" s="1168"/>
      <c r="O119" s="1168"/>
      <c r="P119" s="1168"/>
      <c r="Q119" s="1168"/>
      <c r="R119" s="1676"/>
      <c r="S119" s="1168"/>
      <c r="T119" s="1168"/>
      <c r="U119" s="550"/>
      <c r="V119" s="1168"/>
      <c r="W119" s="1168"/>
      <c r="X119" s="1168"/>
      <c r="Y119" s="1168"/>
      <c r="Z119" s="1168"/>
      <c r="AA119" s="1672"/>
      <c r="AB119" s="572"/>
      <c r="AC119" s="572"/>
      <c r="AD119" s="572"/>
      <c r="AE119" s="572"/>
    </row>
    <row s="4068" customFormat="1" customHeight="1" ht="11.25">
      <c r="A120" s="994"/>
      <c r="B120" s="1676"/>
      <c r="C120" s="1676"/>
      <c r="D120" s="347"/>
      <c r="K120" s="1168"/>
      <c r="L120" s="1676"/>
      <c r="M120" s="1676"/>
      <c r="N120" s="1168"/>
      <c r="O120" s="1168"/>
      <c r="P120" s="1168"/>
      <c r="Q120" s="1168"/>
      <c r="R120" s="1676"/>
      <c r="S120" s="1168"/>
      <c r="T120" s="1168"/>
      <c r="U120" s="550"/>
      <c r="V120" s="1168"/>
      <c r="W120" s="1168"/>
      <c r="X120" s="1168"/>
      <c r="Y120" s="1168"/>
      <c r="Z120" s="1168"/>
      <c r="AA120" s="1672"/>
      <c r="AB120" s="572"/>
      <c r="AC120" s="572"/>
      <c r="AD120" s="572"/>
      <c r="AE120" s="572"/>
    </row>
    <row s="4068" customFormat="1" customHeight="1" ht="11.25">
      <c r="A121" s="994"/>
      <c r="B121" s="1676"/>
      <c r="C121" s="1676"/>
      <c r="D121" s="347"/>
      <c r="K121" s="1168"/>
      <c r="L121" s="1676"/>
      <c r="M121" s="1676"/>
      <c r="N121" s="1168"/>
      <c r="O121" s="1168"/>
      <c r="P121" s="1168"/>
      <c r="Q121" s="1168"/>
      <c r="R121" s="1676"/>
      <c r="S121" s="1168"/>
      <c r="T121" s="1168"/>
      <c r="U121" s="550"/>
      <c r="V121" s="1168"/>
      <c r="W121" s="1168"/>
      <c r="X121" s="1168"/>
      <c r="Y121" s="1168"/>
      <c r="Z121" s="1168"/>
      <c r="AA121" s="1672"/>
      <c r="AB121" s="572"/>
      <c r="AC121" s="572"/>
      <c r="AD121" s="572"/>
      <c r="AE121" s="572"/>
    </row>
    <row s="4068" customFormat="1" customHeight="1" ht="11.25">
      <c r="A122" s="994"/>
      <c r="B122" s="1676"/>
      <c r="C122" s="1676"/>
      <c r="D122" s="347"/>
      <c r="K122" s="1168"/>
      <c r="L122" s="1676"/>
      <c r="M122" s="1676"/>
      <c r="N122" s="1168"/>
      <c r="O122" s="1168"/>
      <c r="P122" s="1168"/>
      <c r="Q122" s="1168"/>
      <c r="R122" s="1676"/>
      <c r="S122" s="1168"/>
      <c r="T122" s="1168"/>
      <c r="U122" s="550"/>
      <c r="V122" s="1168"/>
      <c r="W122" s="1168"/>
      <c r="X122" s="1168"/>
      <c r="Y122" s="1168"/>
      <c r="Z122" s="1168"/>
      <c r="AA122" s="1672"/>
      <c r="AB122" s="572"/>
      <c r="AC122" s="572"/>
      <c r="AD122" s="572"/>
      <c r="AE122" s="572"/>
    </row>
    <row s="4068" customFormat="1" customHeight="1" ht="11.25">
      <c r="A123" s="994"/>
      <c r="B123" s="1676"/>
      <c r="C123" s="1676"/>
      <c r="D123" s="347"/>
      <c r="K123" s="1168"/>
      <c r="L123" s="1676"/>
      <c r="M123" s="1676"/>
      <c r="N123" s="1168"/>
      <c r="O123" s="1168"/>
      <c r="P123" s="1168"/>
      <c r="Q123" s="1168"/>
      <c r="R123" s="1676"/>
      <c r="S123" s="1168"/>
      <c r="T123" s="1168"/>
      <c r="U123" s="550"/>
      <c r="V123" s="1168"/>
      <c r="W123" s="1168"/>
      <c r="X123" s="1168"/>
      <c r="Y123" s="1168"/>
      <c r="Z123" s="1168"/>
      <c r="AA123" s="1672"/>
      <c r="AB123" s="572"/>
      <c r="AC123" s="572"/>
      <c r="AD123" s="572"/>
      <c r="AE123" s="572"/>
    </row>
    <row s="4068" customFormat="1" customHeight="1" ht="11.25">
      <c r="A124" s="994"/>
      <c r="B124" s="1676"/>
      <c r="C124" s="1676"/>
      <c r="D124" s="347"/>
      <c r="K124" s="1168"/>
      <c r="L124" s="1676"/>
      <c r="M124" s="1676"/>
      <c r="N124" s="1168"/>
      <c r="O124" s="1168"/>
      <c r="P124" s="1168"/>
      <c r="Q124" s="1168"/>
      <c r="R124" s="1676"/>
      <c r="S124" s="1168"/>
      <c r="T124" s="1168"/>
      <c r="U124" s="550"/>
      <c r="V124" s="1168"/>
      <c r="W124" s="1168"/>
      <c r="X124" s="1168"/>
      <c r="Y124" s="1168"/>
      <c r="Z124" s="1168"/>
      <c r="AA124" s="1672"/>
      <c r="AB124" s="572"/>
      <c r="AC124" s="572"/>
      <c r="AD124" s="572"/>
      <c r="AE124" s="572"/>
    </row>
    <row s="4068" customFormat="1" customHeight="1" ht="11.25">
      <c r="A125" s="994"/>
      <c r="B125" s="1676"/>
      <c r="C125" s="1676"/>
      <c r="D125" s="347"/>
      <c r="K125" s="1168"/>
      <c r="L125" s="1676"/>
      <c r="M125" s="1676"/>
      <c r="N125" s="1168"/>
      <c r="O125" s="1168"/>
      <c r="P125" s="1168"/>
      <c r="Q125" s="1168"/>
      <c r="R125" s="1676"/>
      <c r="S125" s="1168"/>
      <c r="T125" s="1168"/>
      <c r="U125" s="550"/>
      <c r="V125" s="1168"/>
      <c r="W125" s="1168"/>
      <c r="X125" s="1168"/>
      <c r="Y125" s="1168"/>
      <c r="Z125" s="1168"/>
      <c r="AA125" s="1672"/>
      <c r="AB125" s="572"/>
      <c r="AC125" s="572"/>
      <c r="AD125" s="572"/>
      <c r="AE125" s="572"/>
    </row>
    <row s="4068" customFormat="1" customHeight="1" ht="11.25">
      <c r="A126" s="994"/>
      <c r="B126" s="1676"/>
      <c r="C126" s="1676"/>
      <c r="D126" s="347"/>
      <c r="K126" s="1168"/>
      <c r="L126" s="1676"/>
      <c r="M126" s="1676"/>
      <c r="N126" s="1168"/>
      <c r="O126" s="1168"/>
      <c r="P126" s="1168"/>
      <c r="Q126" s="1168"/>
      <c r="R126" s="1676"/>
      <c r="S126" s="1168"/>
      <c r="T126" s="1168"/>
      <c r="U126" s="550"/>
      <c r="V126" s="1168"/>
      <c r="W126" s="1168"/>
      <c r="X126" s="1168"/>
      <c r="Y126" s="1168"/>
      <c r="Z126" s="1168"/>
      <c r="AA126" s="1672"/>
      <c r="AB126" s="572"/>
      <c r="AC126" s="572"/>
      <c r="AD126" s="572"/>
      <c r="AE126" s="572"/>
    </row>
    <row s="4068" customFormat="1" customHeight="1" ht="11.25">
      <c r="A127" s="994"/>
      <c r="B127" s="1676"/>
      <c r="C127" s="1676"/>
      <c r="D127" s="347"/>
      <c r="K127" s="1168"/>
      <c r="L127" s="1676"/>
      <c r="M127" s="1676"/>
      <c r="N127" s="1168"/>
      <c r="O127" s="1168"/>
      <c r="P127" s="1168"/>
      <c r="Q127" s="1168"/>
      <c r="R127" s="1676"/>
      <c r="S127" s="1168"/>
      <c r="T127" s="1168"/>
      <c r="U127" s="550"/>
      <c r="V127" s="1168"/>
      <c r="W127" s="1168"/>
      <c r="X127" s="1168"/>
      <c r="Y127" s="1168"/>
      <c r="Z127" s="1168"/>
      <c r="AA127" s="1672"/>
      <c r="AB127" s="572"/>
      <c r="AC127" s="572"/>
      <c r="AD127" s="572"/>
      <c r="AE127" s="572"/>
    </row>
    <row s="4068" customFormat="1" customHeight="1" ht="11.25">
      <c r="A128" s="994"/>
      <c r="B128" s="1676"/>
      <c r="C128" s="1676"/>
      <c r="D128" s="347"/>
      <c r="K128" s="1168"/>
      <c r="L128" s="1676"/>
      <c r="M128" s="1676"/>
      <c r="N128" s="1168"/>
      <c r="O128" s="1168"/>
      <c r="P128" s="1168"/>
      <c r="Q128" s="1168"/>
      <c r="R128" s="1676"/>
      <c r="S128" s="1168"/>
      <c r="T128" s="1168"/>
      <c r="U128" s="550"/>
      <c r="V128" s="1168"/>
      <c r="W128" s="1168"/>
      <c r="X128" s="1168"/>
      <c r="Y128" s="1168"/>
      <c r="Z128" s="1168"/>
      <c r="AA128" s="1672"/>
      <c r="AB128" s="572"/>
      <c r="AC128" s="572"/>
      <c r="AD128" s="572"/>
      <c r="AE128" s="572"/>
    </row>
    <row s="4068" customFormat="1" customHeight="1" ht="11.25">
      <c r="A129" s="994"/>
      <c r="B129" s="1676"/>
      <c r="C129" s="1676"/>
      <c r="D129" s="347"/>
      <c r="K129" s="1168"/>
      <c r="L129" s="1676"/>
      <c r="M129" s="1676"/>
      <c r="N129" s="1168"/>
      <c r="O129" s="1168"/>
      <c r="P129" s="1168"/>
      <c r="Q129" s="1168"/>
      <c r="R129" s="1676"/>
      <c r="S129" s="1168"/>
      <c r="T129" s="1168"/>
      <c r="U129" s="550"/>
      <c r="V129" s="1168"/>
      <c r="W129" s="1168"/>
      <c r="X129" s="1168"/>
      <c r="Y129" s="1168"/>
      <c r="Z129" s="1168"/>
      <c r="AA129" s="1672"/>
      <c r="AB129" s="572"/>
      <c r="AC129" s="572"/>
      <c r="AD129" s="572"/>
      <c r="AE129" s="572"/>
    </row>
    <row s="4068" customFormat="1" customHeight="1" ht="11.25">
      <c r="A130" s="994"/>
      <c r="B130" s="1676"/>
      <c r="C130" s="1676"/>
      <c r="D130" s="347"/>
      <c r="K130" s="1168"/>
      <c r="L130" s="1676"/>
      <c r="M130" s="1676"/>
      <c r="N130" s="1168"/>
      <c r="O130" s="1168"/>
      <c r="P130" s="1168"/>
      <c r="Q130" s="1168"/>
      <c r="R130" s="1676"/>
      <c r="S130" s="1168"/>
      <c r="T130" s="1168"/>
      <c r="U130" s="550"/>
      <c r="V130" s="1168"/>
      <c r="W130" s="1168"/>
      <c r="X130" s="1168"/>
      <c r="Y130" s="1168"/>
      <c r="Z130" s="1168"/>
      <c r="AA130" s="1672"/>
      <c r="AB130" s="572"/>
      <c r="AC130" s="572"/>
      <c r="AD130" s="572"/>
      <c r="AE130" s="572"/>
    </row>
    <row s="4068" customFormat="1" customHeight="1" ht="11.25">
      <c r="A131" s="994"/>
      <c r="B131" s="1676"/>
      <c r="C131" s="1676"/>
      <c r="D131" s="347"/>
      <c r="K131" s="1168"/>
      <c r="L131" s="1676"/>
      <c r="M131" s="1676"/>
      <c r="N131" s="1168"/>
      <c r="O131" s="1168"/>
      <c r="P131" s="1168"/>
      <c r="Q131" s="1168"/>
      <c r="R131" s="1676"/>
      <c r="S131" s="1168"/>
      <c r="T131" s="1168"/>
      <c r="U131" s="550"/>
      <c r="V131" s="1168"/>
      <c r="W131" s="1168"/>
      <c r="X131" s="1168"/>
      <c r="Y131" s="1168"/>
      <c r="Z131" s="1168"/>
      <c r="AA131" s="1672"/>
      <c r="AB131" s="572"/>
      <c r="AC131" s="572"/>
      <c r="AD131" s="572"/>
      <c r="AE131" s="572"/>
    </row>
    <row s="4068" customFormat="1" customHeight="1" ht="11.25">
      <c r="A132" s="994"/>
      <c r="B132" s="1676"/>
      <c r="C132" s="1676"/>
      <c r="D132" s="347"/>
      <c r="K132" s="1168"/>
      <c r="L132" s="1676"/>
      <c r="M132" s="1676"/>
      <c r="N132" s="1168"/>
      <c r="O132" s="1168"/>
      <c r="P132" s="1168"/>
      <c r="Q132" s="1168"/>
      <c r="R132" s="1676"/>
      <c r="S132" s="1168"/>
      <c r="T132" s="1168"/>
      <c r="U132" s="550"/>
      <c r="V132" s="1168"/>
      <c r="W132" s="1168"/>
      <c r="X132" s="1168"/>
      <c r="Y132" s="1168"/>
      <c r="Z132" s="1168"/>
      <c r="AA132" s="1672"/>
      <c r="AB132" s="572"/>
      <c r="AC132" s="572"/>
      <c r="AD132" s="572"/>
      <c r="AE132" s="572"/>
    </row>
    <row s="4068" customFormat="1" customHeight="1" ht="11.25">
      <c r="A133" s="994"/>
      <c r="B133" s="1676"/>
      <c r="C133" s="1676"/>
      <c r="D133" s="347"/>
      <c r="K133" s="1168"/>
      <c r="L133" s="1676"/>
      <c r="M133" s="1676"/>
      <c r="N133" s="1168"/>
      <c r="O133" s="1168"/>
      <c r="P133" s="1168"/>
      <c r="Q133" s="1168"/>
      <c r="R133" s="1676"/>
      <c r="S133" s="1168"/>
      <c r="T133" s="1168"/>
      <c r="U133" s="550"/>
      <c r="V133" s="1168"/>
      <c r="W133" s="1168"/>
      <c r="X133" s="1168"/>
      <c r="Y133" s="1168"/>
      <c r="Z133" s="1168"/>
      <c r="AA133" s="1672"/>
      <c r="AB133" s="572"/>
      <c r="AC133" s="572"/>
      <c r="AD133" s="572"/>
      <c r="AE133" s="572"/>
    </row>
    <row s="4068" customFormat="1" customHeight="1" ht="11.25">
      <c r="A134" s="994"/>
      <c r="B134" s="1676"/>
      <c r="C134" s="1676"/>
      <c r="D134" s="347"/>
      <c r="K134" s="1168"/>
      <c r="L134" s="1676"/>
      <c r="M134" s="1676"/>
      <c r="N134" s="1168"/>
      <c r="O134" s="1168"/>
      <c r="P134" s="1168"/>
      <c r="Q134" s="1168"/>
      <c r="R134" s="1676"/>
      <c r="S134" s="1168"/>
      <c r="T134" s="1168"/>
      <c r="U134" s="550"/>
      <c r="V134" s="1168"/>
      <c r="W134" s="1168"/>
      <c r="X134" s="1168"/>
      <c r="Y134" s="1168"/>
      <c r="Z134" s="1168"/>
      <c r="AA134" s="1672"/>
      <c r="AB134" s="572"/>
      <c r="AC134" s="572"/>
      <c r="AD134" s="572"/>
      <c r="AE134" s="572"/>
    </row>
    <row s="4068" customFormat="1" customHeight="1" ht="11.25">
      <c r="A135" s="994"/>
      <c r="B135" s="1676"/>
      <c r="C135" s="1676"/>
      <c r="D135" s="347"/>
      <c r="K135" s="1168"/>
      <c r="L135" s="1676"/>
      <c r="M135" s="1676"/>
      <c r="N135" s="1168"/>
      <c r="O135" s="1168"/>
      <c r="P135" s="1168"/>
      <c r="Q135" s="1168"/>
      <c r="R135" s="1676"/>
      <c r="S135" s="1168"/>
      <c r="T135" s="1168"/>
      <c r="U135" s="550"/>
      <c r="V135" s="1168"/>
      <c r="W135" s="1168"/>
      <c r="X135" s="1168"/>
      <c r="Y135" s="1168"/>
      <c r="Z135" s="1168"/>
      <c r="AA135" s="1672"/>
      <c r="AB135" s="572"/>
      <c r="AC135" s="572"/>
      <c r="AD135" s="572"/>
      <c r="AE135" s="572"/>
    </row>
    <row s="4068" customFormat="1" customHeight="1" ht="11.25">
      <c r="A136" s="994"/>
      <c r="B136" s="1676"/>
      <c r="C136" s="1676"/>
      <c r="D136" s="347"/>
      <c r="K136" s="1168"/>
      <c r="L136" s="1676"/>
      <c r="M136" s="1676"/>
      <c r="N136" s="1168"/>
      <c r="O136" s="1168"/>
      <c r="P136" s="1168"/>
      <c r="Q136" s="1168"/>
      <c r="R136" s="1676"/>
      <c r="S136" s="1168"/>
      <c r="T136" s="1168"/>
      <c r="U136" s="550"/>
      <c r="V136" s="1168"/>
      <c r="W136" s="1168"/>
      <c r="X136" s="1168"/>
      <c r="Y136" s="1168"/>
      <c r="Z136" s="1168"/>
      <c r="AA136" s="1672"/>
      <c r="AB136" s="572"/>
      <c r="AC136" s="572"/>
      <c r="AD136" s="572"/>
      <c r="AE136" s="572"/>
    </row>
    <row s="4068" customFormat="1" customHeight="1" ht="11.25">
      <c r="A137" s="994"/>
      <c r="B137" s="1676"/>
      <c r="C137" s="1676"/>
      <c r="D137" s="347"/>
      <c r="K137" s="1168"/>
      <c r="L137" s="1676"/>
      <c r="M137" s="1676"/>
      <c r="N137" s="1168"/>
      <c r="O137" s="1168"/>
      <c r="P137" s="1168"/>
      <c r="Q137" s="1168"/>
      <c r="R137" s="1676"/>
      <c r="S137" s="1168"/>
      <c r="T137" s="1168"/>
      <c r="U137" s="550"/>
      <c r="V137" s="1168"/>
      <c r="W137" s="1168"/>
      <c r="X137" s="1168"/>
      <c r="Y137" s="1168"/>
      <c r="Z137" s="1168"/>
      <c r="AA137" s="1672"/>
      <c r="AB137" s="572"/>
      <c r="AC137" s="572"/>
      <c r="AD137" s="572"/>
      <c r="AE137" s="572"/>
    </row>
    <row s="4068" customFormat="1" customHeight="1" ht="11.25">
      <c r="A138" s="994"/>
      <c r="B138" s="1676"/>
      <c r="C138" s="1676"/>
      <c r="D138" s="347"/>
      <c r="K138" s="1168"/>
      <c r="L138" s="1676"/>
      <c r="M138" s="1676"/>
      <c r="N138" s="1168"/>
      <c r="O138" s="1168"/>
      <c r="P138" s="1168"/>
      <c r="Q138" s="1168"/>
      <c r="R138" s="1676"/>
      <c r="S138" s="1168"/>
      <c r="T138" s="1168"/>
      <c r="U138" s="550"/>
      <c r="V138" s="1168"/>
      <c r="W138" s="1168"/>
      <c r="X138" s="1168"/>
      <c r="Y138" s="1168"/>
      <c r="Z138" s="1168"/>
      <c r="AA138" s="1672"/>
      <c r="AB138" s="572"/>
      <c r="AC138" s="572"/>
      <c r="AD138" s="572"/>
      <c r="AE138" s="572"/>
    </row>
    <row s="4068" customFormat="1" customHeight="1" ht="11.25">
      <c r="A139" s="994"/>
      <c r="B139" s="1676"/>
      <c r="C139" s="1676"/>
      <c r="D139" s="347"/>
      <c r="K139" s="1168"/>
      <c r="L139" s="1676"/>
      <c r="M139" s="1676"/>
      <c r="N139" s="1168"/>
      <c r="O139" s="1168"/>
      <c r="P139" s="1168"/>
      <c r="Q139" s="1168"/>
      <c r="R139" s="1676"/>
      <c r="S139" s="1168"/>
      <c r="T139" s="1168"/>
      <c r="U139" s="550"/>
      <c r="V139" s="1168"/>
      <c r="W139" s="1168"/>
      <c r="X139" s="1168"/>
      <c r="Y139" s="1168"/>
      <c r="Z139" s="1168"/>
      <c r="AA139" s="1672"/>
      <c r="AB139" s="572"/>
      <c r="AC139" s="572"/>
      <c r="AD139" s="572"/>
      <c r="AE139" s="572"/>
    </row>
    <row s="4068" customFormat="1" customHeight="1" ht="11.25">
      <c r="A140" s="994"/>
      <c r="B140" s="1676"/>
      <c r="C140" s="1676"/>
      <c r="D140" s="347"/>
      <c r="K140" s="1168"/>
      <c r="L140" s="1676"/>
      <c r="M140" s="1676"/>
      <c r="N140" s="1168"/>
      <c r="O140" s="1168"/>
      <c r="P140" s="1168"/>
      <c r="Q140" s="1168"/>
      <c r="R140" s="1676"/>
      <c r="S140" s="1168"/>
      <c r="T140" s="1168"/>
      <c r="U140" s="550"/>
      <c r="V140" s="1168"/>
      <c r="W140" s="1168"/>
      <c r="X140" s="1168"/>
      <c r="Y140" s="1168"/>
      <c r="Z140" s="1168"/>
      <c r="AA140" s="1672"/>
      <c r="AB140" s="572"/>
      <c r="AC140" s="572"/>
      <c r="AD140" s="572"/>
      <c r="AE140" s="572"/>
    </row>
    <row s="4068" customFormat="1" customHeight="1" ht="11.25">
      <c r="A141" s="994"/>
      <c r="B141" s="1676"/>
      <c r="C141" s="1676"/>
      <c r="D141" s="347"/>
      <c r="K141" s="1168"/>
      <c r="L141" s="1676"/>
      <c r="M141" s="1676"/>
      <c r="N141" s="1168"/>
      <c r="O141" s="1168"/>
      <c r="P141" s="1168"/>
      <c r="Q141" s="1168"/>
      <c r="R141" s="1676"/>
      <c r="S141" s="1168"/>
      <c r="T141" s="1168"/>
      <c r="U141" s="550"/>
      <c r="V141" s="1168"/>
      <c r="W141" s="1168"/>
      <c r="X141" s="1168"/>
      <c r="Y141" s="1168"/>
      <c r="Z141" s="1168"/>
      <c r="AA141" s="1672"/>
      <c r="AB141" s="572"/>
      <c r="AC141" s="572"/>
      <c r="AD141" s="572"/>
      <c r="AE141" s="572"/>
    </row>
    <row s="4068" customFormat="1" customHeight="1" ht="11.25">
      <c r="A142" s="994"/>
      <c r="B142" s="1676"/>
      <c r="C142" s="1676"/>
      <c r="D142" s="347"/>
      <c r="K142" s="1168"/>
      <c r="L142" s="1676"/>
      <c r="M142" s="1676"/>
      <c r="N142" s="1168"/>
      <c r="O142" s="1168"/>
      <c r="P142" s="1168"/>
      <c r="Q142" s="1168"/>
      <c r="R142" s="1676"/>
      <c r="S142" s="1168"/>
      <c r="T142" s="1168"/>
      <c r="U142" s="550"/>
      <c r="V142" s="1168"/>
      <c r="W142" s="1168"/>
      <c r="X142" s="1168"/>
      <c r="Y142" s="1168"/>
      <c r="Z142" s="1168"/>
      <c r="AA142" s="1672"/>
      <c r="AB142" s="572"/>
      <c r="AC142" s="572"/>
      <c r="AD142" s="572"/>
      <c r="AE142" s="572"/>
    </row>
    <row s="4068" customFormat="1" customHeight="1" ht="11.25">
      <c r="A143" s="994"/>
      <c r="B143" s="1676"/>
      <c r="C143" s="1676"/>
      <c r="D143" s="347"/>
      <c r="K143" s="1168"/>
      <c r="L143" s="1676"/>
      <c r="M143" s="1676"/>
      <c r="N143" s="1168"/>
      <c r="O143" s="1168"/>
      <c r="P143" s="1168"/>
      <c r="Q143" s="1168"/>
      <c r="R143" s="1676"/>
      <c r="S143" s="1168"/>
      <c r="T143" s="1168"/>
      <c r="U143" s="550"/>
      <c r="V143" s="1168"/>
      <c r="W143" s="1168"/>
      <c r="X143" s="1168"/>
      <c r="Y143" s="1168"/>
      <c r="Z143" s="1168"/>
      <c r="AA143" s="1672"/>
      <c r="AB143" s="572"/>
      <c r="AC143" s="572"/>
      <c r="AD143" s="572"/>
      <c r="AE143" s="572"/>
    </row>
    <row s="4068" customFormat="1" customHeight="1" ht="11.25">
      <c r="A144" s="994"/>
      <c r="B144" s="1676"/>
      <c r="C144" s="1676"/>
      <c r="D144" s="347"/>
      <c r="K144" s="1168"/>
      <c r="L144" s="1676"/>
      <c r="M144" s="1676"/>
      <c r="N144" s="1168"/>
      <c r="O144" s="1168"/>
      <c r="P144" s="1168"/>
      <c r="Q144" s="1168"/>
      <c r="R144" s="1676"/>
      <c r="S144" s="1168"/>
      <c r="T144" s="1168"/>
      <c r="U144" s="550"/>
      <c r="V144" s="1168"/>
      <c r="W144" s="1168"/>
      <c r="X144" s="1168"/>
      <c r="Y144" s="1168"/>
      <c r="Z144" s="1168"/>
      <c r="AA144" s="1672"/>
      <c r="AB144" s="572"/>
      <c r="AC144" s="572"/>
      <c r="AD144" s="572"/>
      <c r="AE144" s="572"/>
    </row>
    <row s="4068" customFormat="1" customHeight="1" ht="11.25">
      <c r="A145" s="994"/>
      <c r="B145" s="1676"/>
      <c r="C145" s="1676"/>
      <c r="D145" s="347"/>
      <c r="K145" s="1168"/>
      <c r="L145" s="1676"/>
      <c r="M145" s="1676"/>
      <c r="N145" s="1168"/>
      <c r="O145" s="1168"/>
      <c r="P145" s="1168"/>
      <c r="Q145" s="1168"/>
      <c r="R145" s="1676"/>
      <c r="S145" s="1168"/>
      <c r="T145" s="1168"/>
      <c r="U145" s="550"/>
      <c r="V145" s="1168"/>
      <c r="W145" s="1168"/>
      <c r="X145" s="1168"/>
      <c r="Y145" s="1168"/>
      <c r="Z145" s="1168"/>
      <c r="AA145" s="1672"/>
      <c r="AB145" s="572"/>
      <c r="AC145" s="572"/>
      <c r="AD145" s="572"/>
      <c r="AE145" s="572"/>
    </row>
    <row s="4068" customFormat="1" customHeight="1" ht="11.25">
      <c r="A146" s="994"/>
      <c r="B146" s="1676"/>
      <c r="C146" s="1676"/>
      <c r="D146" s="347"/>
      <c r="K146" s="1168"/>
      <c r="L146" s="1676"/>
      <c r="M146" s="1676"/>
      <c r="N146" s="1168"/>
      <c r="O146" s="1168"/>
      <c r="P146" s="1168"/>
      <c r="Q146" s="1168"/>
      <c r="R146" s="1676"/>
      <c r="S146" s="1168"/>
      <c r="T146" s="1168"/>
      <c r="U146" s="550"/>
      <c r="V146" s="1168"/>
      <c r="W146" s="1168"/>
      <c r="X146" s="1168"/>
      <c r="Y146" s="1168"/>
      <c r="Z146" s="1168"/>
      <c r="AA146" s="1672"/>
      <c r="AB146" s="572"/>
      <c r="AC146" s="572"/>
      <c r="AD146" s="572"/>
      <c r="AE146" s="572"/>
    </row>
    <row s="4068" customFormat="1" customHeight="1" ht="11.25">
      <c r="A147" s="994"/>
      <c r="B147" s="1676"/>
      <c r="C147" s="1676"/>
      <c r="D147" s="347"/>
      <c r="K147" s="1168"/>
      <c r="L147" s="1676"/>
      <c r="M147" s="1676"/>
      <c r="N147" s="1168"/>
      <c r="O147" s="1168"/>
      <c r="P147" s="1168"/>
      <c r="Q147" s="1168"/>
      <c r="R147" s="1676"/>
      <c r="S147" s="1168"/>
      <c r="T147" s="1168"/>
      <c r="U147" s="550"/>
      <c r="V147" s="1168"/>
      <c r="W147" s="1168"/>
      <c r="X147" s="1168"/>
      <c r="Y147" s="1168"/>
      <c r="Z147" s="1168"/>
      <c r="AA147" s="1672"/>
      <c r="AB147" s="572"/>
      <c r="AC147" s="572"/>
      <c r="AD147" s="572"/>
      <c r="AE147" s="572"/>
    </row>
    <row s="4068" customFormat="1" customHeight="1" ht="11.25">
      <c r="A148" s="994"/>
      <c r="B148" s="1676"/>
      <c r="C148" s="1676"/>
      <c r="D148" s="347"/>
      <c r="K148" s="1168"/>
      <c r="L148" s="1676"/>
      <c r="M148" s="1676"/>
      <c r="N148" s="1168"/>
      <c r="O148" s="1168"/>
      <c r="P148" s="1168"/>
      <c r="Q148" s="1168"/>
      <c r="R148" s="1676"/>
      <c r="S148" s="1168"/>
      <c r="T148" s="1168"/>
      <c r="U148" s="550"/>
      <c r="V148" s="1168"/>
      <c r="W148" s="1168"/>
      <c r="X148" s="1168"/>
      <c r="Y148" s="1168"/>
      <c r="Z148" s="1168"/>
      <c r="AA148" s="1672"/>
      <c r="AB148" s="572"/>
      <c r="AC148" s="572"/>
      <c r="AD148" s="572"/>
      <c r="AE148" s="572"/>
    </row>
    <row s="4068" customFormat="1" customHeight="1" ht="11.25">
      <c r="A149" s="994"/>
      <c r="B149" s="1676"/>
      <c r="C149" s="1676"/>
      <c r="D149" s="347"/>
      <c r="K149" s="1168"/>
      <c r="L149" s="1676"/>
      <c r="M149" s="1676"/>
      <c r="N149" s="1168"/>
      <c r="O149" s="1168"/>
      <c r="P149" s="1168"/>
      <c r="Q149" s="1168"/>
      <c r="R149" s="1676"/>
      <c r="S149" s="1168"/>
      <c r="T149" s="1168"/>
      <c r="U149" s="550"/>
      <c r="V149" s="1168"/>
      <c r="W149" s="1168"/>
      <c r="X149" s="1168"/>
      <c r="Y149" s="1168"/>
      <c r="Z149" s="1168"/>
      <c r="AA149" s="1672"/>
      <c r="AB149" s="572"/>
      <c r="AC149" s="572"/>
      <c r="AD149" s="572"/>
      <c r="AE149" s="572"/>
    </row>
    <row s="4068" customFormat="1" customHeight="1" ht="11.25">
      <c r="A150" s="994"/>
      <c r="B150" s="1676"/>
      <c r="C150" s="1676"/>
      <c r="D150" s="347"/>
      <c r="K150" s="1168"/>
      <c r="L150" s="1676"/>
      <c r="M150" s="1676"/>
      <c r="N150" s="1168"/>
      <c r="O150" s="1168"/>
      <c r="P150" s="1168"/>
      <c r="Q150" s="1168"/>
      <c r="R150" s="1676"/>
      <c r="S150" s="1168"/>
      <c r="T150" s="1168"/>
      <c r="U150" s="550"/>
      <c r="V150" s="1168"/>
      <c r="W150" s="1168"/>
      <c r="X150" s="1168"/>
      <c r="Y150" s="1168"/>
      <c r="Z150" s="1168"/>
      <c r="AA150" s="1672"/>
      <c r="AB150" s="572"/>
      <c r="AC150" s="572"/>
      <c r="AD150" s="572"/>
      <c r="AE150" s="572"/>
    </row>
    <row s="4068" customFormat="1" customHeight="1" ht="11.25">
      <c r="A151" s="994"/>
      <c r="B151" s="1676"/>
      <c r="C151" s="1676"/>
      <c r="D151" s="347"/>
      <c r="K151" s="1168"/>
      <c r="L151" s="1676"/>
      <c r="M151" s="1676"/>
      <c r="N151" s="1168"/>
      <c r="O151" s="1168"/>
      <c r="P151" s="1168"/>
      <c r="Q151" s="1168"/>
      <c r="R151" s="1676"/>
      <c r="S151" s="1168"/>
      <c r="T151" s="1168"/>
      <c r="U151" s="550"/>
      <c r="V151" s="1168"/>
      <c r="W151" s="1168"/>
      <c r="X151" s="1168"/>
      <c r="Y151" s="1168"/>
      <c r="Z151" s="1168"/>
      <c r="AA151" s="1672"/>
      <c r="AB151" s="572"/>
      <c r="AC151" s="572"/>
      <c r="AD151" s="572"/>
      <c r="AE151" s="572"/>
    </row>
    <row s="4068" customFormat="1" customHeight="1" ht="11.25">
      <c r="A152" s="994"/>
      <c r="B152" s="1676"/>
      <c r="C152" s="1676"/>
      <c r="D152" s="347"/>
      <c r="K152" s="1168"/>
      <c r="L152" s="1676"/>
      <c r="M152" s="1676"/>
      <c r="N152" s="1168"/>
      <c r="O152" s="1168"/>
      <c r="P152" s="1168"/>
      <c r="Q152" s="1168"/>
      <c r="R152" s="1676"/>
      <c r="S152" s="1168"/>
      <c r="T152" s="1168"/>
      <c r="U152" s="550"/>
      <c r="V152" s="1168"/>
      <c r="W152" s="1168"/>
      <c r="X152" s="1168"/>
      <c r="Y152" s="1168"/>
      <c r="Z152" s="1168"/>
      <c r="AA152" s="1672"/>
      <c r="AB152" s="572"/>
      <c r="AC152" s="572"/>
      <c r="AD152" s="572"/>
      <c r="AE152" s="572"/>
    </row>
    <row s="4068" customFormat="1" customHeight="1" ht="11.25">
      <c r="A153" s="994"/>
      <c r="B153" s="1676"/>
      <c r="C153" s="1676"/>
      <c r="D153" s="347"/>
      <c r="K153" s="1168"/>
      <c r="L153" s="1676"/>
      <c r="M153" s="1676"/>
      <c r="N153" s="1168"/>
      <c r="O153" s="1168"/>
      <c r="P153" s="1168"/>
      <c r="Q153" s="1168"/>
      <c r="R153" s="1676"/>
      <c r="S153" s="1168"/>
      <c r="T153" s="1168"/>
      <c r="U153" s="550"/>
      <c r="V153" s="1168"/>
      <c r="W153" s="1168"/>
      <c r="X153" s="1168"/>
      <c r="Y153" s="1168"/>
      <c r="Z153" s="1168"/>
      <c r="AA153" s="1672"/>
      <c r="AB153" s="572"/>
      <c r="AC153" s="572"/>
      <c r="AD153" s="572"/>
      <c r="AE153" s="572"/>
    </row>
    <row s="4068" customFormat="1" customHeight="1" ht="11.25">
      <c r="A154" s="994"/>
      <c r="B154" s="1676"/>
      <c r="C154" s="1676"/>
      <c r="D154" s="347"/>
      <c r="K154" s="1168"/>
      <c r="L154" s="1676"/>
      <c r="M154" s="1676"/>
      <c r="N154" s="1168"/>
      <c r="O154" s="1168"/>
      <c r="P154" s="1168"/>
      <c r="Q154" s="1168"/>
      <c r="R154" s="1676"/>
      <c r="S154" s="1168"/>
      <c r="T154" s="1168"/>
      <c r="U154" s="550"/>
      <c r="V154" s="1168"/>
      <c r="W154" s="1168"/>
      <c r="X154" s="1168"/>
      <c r="Y154" s="1168"/>
      <c r="Z154" s="1168"/>
      <c r="AA154" s="1672"/>
      <c r="AB154" s="572"/>
      <c r="AC154" s="572"/>
      <c r="AD154" s="572"/>
      <c r="AE154" s="572"/>
    </row>
    <row s="4068" customFormat="1" customHeight="1" ht="11.25">
      <c r="A155" s="994"/>
      <c r="B155" s="1676"/>
      <c r="C155" s="1676"/>
      <c r="D155" s="347"/>
      <c r="K155" s="1168"/>
      <c r="L155" s="1676"/>
      <c r="M155" s="1676"/>
      <c r="N155" s="1168"/>
      <c r="O155" s="1168"/>
      <c r="P155" s="1168"/>
      <c r="Q155" s="1168"/>
      <c r="R155" s="1676"/>
      <c r="S155" s="1168"/>
      <c r="T155" s="1168"/>
      <c r="U155" s="550"/>
      <c r="V155" s="1168"/>
      <c r="W155" s="1168"/>
      <c r="X155" s="1168"/>
      <c r="Y155" s="1168"/>
      <c r="Z155" s="1168"/>
      <c r="AA155" s="1672"/>
      <c r="AB155" s="572"/>
      <c r="AC155" s="572"/>
      <c r="AD155" s="572"/>
      <c r="AE155" s="572"/>
    </row>
    <row s="4068" customFormat="1" customHeight="1" ht="11.25">
      <c r="A156" s="994"/>
      <c r="B156" s="1676"/>
      <c r="C156" s="1676"/>
      <c r="D156" s="347"/>
      <c r="K156" s="1168"/>
      <c r="L156" s="1676"/>
      <c r="M156" s="1676"/>
      <c r="N156" s="1168"/>
      <c r="O156" s="1168"/>
      <c r="P156" s="1168"/>
      <c r="Q156" s="1168"/>
      <c r="R156" s="1676"/>
      <c r="S156" s="1168"/>
      <c r="T156" s="1168"/>
      <c r="U156" s="550"/>
      <c r="V156" s="1168"/>
      <c r="W156" s="1168"/>
      <c r="X156" s="1168"/>
      <c r="Y156" s="1168"/>
      <c r="Z156" s="1168"/>
      <c r="AA156" s="1672"/>
      <c r="AB156" s="572"/>
      <c r="AC156" s="572"/>
      <c r="AD156" s="572"/>
      <c r="AE156" s="572"/>
    </row>
    <row s="4068" customFormat="1" customHeight="1" ht="11.25">
      <c r="A157" s="994"/>
      <c r="B157" s="1676"/>
      <c r="C157" s="1676"/>
      <c r="D157" s="347"/>
      <c r="K157" s="1168"/>
      <c r="L157" s="1676"/>
      <c r="M157" s="1676"/>
      <c r="N157" s="1168"/>
      <c r="O157" s="1168"/>
      <c r="P157" s="1168"/>
      <c r="Q157" s="1168"/>
      <c r="R157" s="1676"/>
      <c r="S157" s="1168"/>
      <c r="T157" s="1168"/>
      <c r="U157" s="550"/>
      <c r="V157" s="1168"/>
      <c r="W157" s="1168"/>
      <c r="X157" s="1168"/>
      <c r="Y157" s="1168"/>
      <c r="Z157" s="1168"/>
      <c r="AA157" s="1672"/>
      <c r="AB157" s="572"/>
      <c r="AC157" s="572"/>
      <c r="AD157" s="572"/>
      <c r="AE157" s="572"/>
    </row>
    <row s="4068" customFormat="1" customHeight="1" ht="11.25">
      <c r="A158" s="994"/>
      <c r="B158" s="1676"/>
      <c r="C158" s="1676"/>
      <c r="D158" s="347"/>
      <c r="K158" s="1168"/>
      <c r="L158" s="1676"/>
      <c r="M158" s="1676"/>
      <c r="N158" s="1168"/>
      <c r="O158" s="1168"/>
      <c r="P158" s="1168"/>
      <c r="Q158" s="1168"/>
      <c r="R158" s="1676"/>
      <c r="S158" s="1168"/>
      <c r="T158" s="1168"/>
      <c r="U158" s="550"/>
      <c r="V158" s="1168"/>
      <c r="W158" s="1168"/>
      <c r="X158" s="1168"/>
      <c r="Y158" s="1168"/>
      <c r="Z158" s="1168"/>
      <c r="AA158" s="1672"/>
      <c r="AB158" s="572"/>
      <c r="AC158" s="572"/>
      <c r="AD158" s="572"/>
      <c r="AE158" s="572"/>
    </row>
    <row s="4068" customFormat="1" customHeight="1" ht="11.25">
      <c r="A159" s="994"/>
      <c r="B159" s="1676"/>
      <c r="C159" s="1676"/>
      <c r="D159" s="347"/>
      <c r="K159" s="1168"/>
      <c r="L159" s="1676"/>
      <c r="M159" s="1676"/>
      <c r="N159" s="1168"/>
      <c r="O159" s="1168"/>
      <c r="P159" s="1168"/>
      <c r="Q159" s="1168"/>
      <c r="R159" s="1676"/>
      <c r="S159" s="1168"/>
      <c r="T159" s="1168"/>
      <c r="U159" s="550"/>
      <c r="V159" s="1168"/>
      <c r="W159" s="1168"/>
      <c r="X159" s="1168"/>
      <c r="Y159" s="1168"/>
      <c r="Z159" s="1168"/>
      <c r="AA159" s="1672"/>
      <c r="AB159" s="572"/>
      <c r="AC159" s="572"/>
      <c r="AD159" s="572"/>
      <c r="AE159" s="572"/>
    </row>
    <row s="4068" customFormat="1" customHeight="1" ht="11.25">
      <c r="A160" s="994"/>
      <c r="B160" s="1676"/>
      <c r="C160" s="1676"/>
      <c r="D160" s="347"/>
      <c r="K160" s="1168"/>
      <c r="L160" s="1676"/>
      <c r="M160" s="1676"/>
      <c r="N160" s="1168"/>
      <c r="O160" s="1168"/>
      <c r="P160" s="1168"/>
      <c r="Q160" s="1168"/>
      <c r="R160" s="1676"/>
      <c r="S160" s="1168"/>
      <c r="T160" s="1168"/>
      <c r="U160" s="550"/>
      <c r="V160" s="1168"/>
      <c r="W160" s="1168"/>
      <c r="X160" s="1168"/>
      <c r="Y160" s="1168"/>
      <c r="Z160" s="1168"/>
      <c r="AA160" s="1672"/>
      <c r="AB160" s="572"/>
      <c r="AC160" s="572"/>
      <c r="AD160" s="572"/>
      <c r="AE160" s="572"/>
    </row>
    <row s="4068" customFormat="1" customHeight="1" ht="11.25">
      <c r="A161" s="994"/>
      <c r="B161" s="1676"/>
      <c r="C161" s="1676"/>
      <c r="D161" s="347"/>
      <c r="K161" s="1168"/>
      <c r="L161" s="1676"/>
      <c r="M161" s="1676"/>
      <c r="N161" s="1168"/>
      <c r="O161" s="1168"/>
      <c r="P161" s="1168"/>
      <c r="Q161" s="1168"/>
      <c r="R161" s="1676"/>
      <c r="S161" s="1168"/>
      <c r="T161" s="1168"/>
      <c r="U161" s="550"/>
      <c r="V161" s="1168"/>
      <c r="W161" s="1168"/>
      <c r="X161" s="1168"/>
      <c r="Y161" s="1168"/>
      <c r="Z161" s="1168"/>
      <c r="AA161" s="1672"/>
      <c r="AB161" s="572"/>
      <c r="AC161" s="572"/>
      <c r="AD161" s="572"/>
      <c r="AE161" s="572"/>
    </row>
    <row s="4068" customFormat="1" customHeight="1" ht="11.25">
      <c r="A162" s="994"/>
      <c r="B162" s="1676"/>
      <c r="C162" s="1676"/>
      <c r="D162" s="347"/>
      <c r="K162" s="1168"/>
      <c r="L162" s="1676"/>
      <c r="M162" s="1676"/>
      <c r="N162" s="1168"/>
      <c r="O162" s="1168"/>
      <c r="P162" s="1168"/>
      <c r="Q162" s="1168"/>
      <c r="R162" s="1676"/>
      <c r="S162" s="1168"/>
      <c r="T162" s="1168"/>
      <c r="U162" s="550"/>
      <c r="V162" s="1168"/>
      <c r="W162" s="1168"/>
      <c r="X162" s="1168"/>
      <c r="Y162" s="1168"/>
      <c r="Z162" s="1168"/>
      <c r="AA162" s="1672"/>
      <c r="AB162" s="572"/>
      <c r="AC162" s="572"/>
      <c r="AD162" s="572"/>
      <c r="AE162" s="572"/>
    </row>
    <row s="4068" customFormat="1" customHeight="1" ht="11.25">
      <c r="A163" s="994"/>
      <c r="B163" s="1676"/>
      <c r="C163" s="1676"/>
      <c r="D163" s="347"/>
      <c r="K163" s="1168"/>
      <c r="L163" s="1676"/>
      <c r="M163" s="1676"/>
      <c r="N163" s="1168"/>
      <c r="O163" s="1168"/>
      <c r="P163" s="1168"/>
      <c r="Q163" s="1168"/>
      <c r="R163" s="1676"/>
      <c r="S163" s="1168"/>
      <c r="T163" s="1168"/>
      <c r="U163" s="550"/>
      <c r="V163" s="1168"/>
      <c r="W163" s="1168"/>
      <c r="X163" s="1168"/>
      <c r="Y163" s="1168"/>
      <c r="Z163" s="1168"/>
      <c r="AA163" s="1672"/>
      <c r="AB163" s="572"/>
      <c r="AC163" s="572"/>
      <c r="AD163" s="572"/>
      <c r="AE163" s="572"/>
    </row>
    <row s="4068" customFormat="1" customHeight="1" ht="11.25">
      <c r="A164" s="994"/>
      <c r="B164" s="1676"/>
      <c r="C164" s="1676"/>
      <c r="D164" s="347"/>
      <c r="K164" s="1168"/>
      <c r="L164" s="1676"/>
      <c r="M164" s="1676"/>
      <c r="N164" s="1168"/>
      <c r="O164" s="1168"/>
      <c r="P164" s="1168"/>
      <c r="Q164" s="1168"/>
      <c r="R164" s="1676"/>
      <c r="S164" s="1168"/>
      <c r="T164" s="1168"/>
      <c r="U164" s="550"/>
      <c r="V164" s="1168"/>
      <c r="W164" s="1168"/>
      <c r="X164" s="1168"/>
      <c r="Y164" s="1168"/>
      <c r="Z164" s="1168"/>
      <c r="AA164" s="1672"/>
      <c r="AB164" s="572"/>
      <c r="AC164" s="572"/>
      <c r="AD164" s="572"/>
      <c r="AE164" s="572"/>
    </row>
    <row s="4068" customFormat="1" customHeight="1" ht="11.25">
      <c r="A165" s="994"/>
      <c r="B165" s="1676"/>
      <c r="C165" s="1676"/>
      <c r="D165" s="347"/>
      <c r="K165" s="1168"/>
      <c r="L165" s="1676"/>
      <c r="M165" s="1676"/>
      <c r="N165" s="1168"/>
      <c r="O165" s="1168"/>
      <c r="P165" s="1168"/>
      <c r="Q165" s="1168"/>
      <c r="R165" s="1676"/>
      <c r="S165" s="1168"/>
      <c r="T165" s="1168"/>
      <c r="U165" s="550"/>
      <c r="V165" s="1168"/>
      <c r="W165" s="1168"/>
      <c r="X165" s="1168"/>
      <c r="Y165" s="1168"/>
      <c r="Z165" s="1168"/>
      <c r="AA165" s="1672"/>
      <c r="AB165" s="572"/>
      <c r="AC165" s="572"/>
      <c r="AD165" s="572"/>
      <c r="AE165" s="572"/>
    </row>
    <row s="4068" customFormat="1" customHeight="1" ht="11.25">
      <c r="A166" s="994"/>
      <c r="B166" s="1676"/>
      <c r="C166" s="1676"/>
      <c r="D166" s="347"/>
      <c r="K166" s="1168"/>
      <c r="L166" s="1676"/>
      <c r="M166" s="1676"/>
      <c r="N166" s="1168"/>
      <c r="O166" s="1168"/>
      <c r="P166" s="1168"/>
      <c r="Q166" s="1168"/>
      <c r="R166" s="1676"/>
      <c r="S166" s="1168"/>
      <c r="T166" s="1168"/>
      <c r="U166" s="550"/>
      <c r="V166" s="1168"/>
      <c r="W166" s="1168"/>
      <c r="X166" s="1168"/>
      <c r="Y166" s="1168"/>
      <c r="Z166" s="1168"/>
      <c r="AA166" s="1672"/>
      <c r="AB166" s="572"/>
      <c r="AC166" s="572"/>
      <c r="AD166" s="572"/>
      <c r="AE166" s="572"/>
    </row>
    <row s="4068" customFormat="1" customHeight="1" ht="11.25">
      <c r="A167" s="994"/>
      <c r="B167" s="1676"/>
      <c r="C167" s="1676"/>
      <c r="D167" s="347"/>
      <c r="K167" s="1168"/>
      <c r="L167" s="1676"/>
      <c r="M167" s="1676"/>
      <c r="N167" s="1168"/>
      <c r="O167" s="1168"/>
      <c r="P167" s="1168"/>
      <c r="Q167" s="1168"/>
      <c r="R167" s="1676"/>
      <c r="S167" s="1168"/>
      <c r="T167" s="1168"/>
      <c r="U167" s="550"/>
      <c r="V167" s="1168"/>
      <c r="W167" s="1168"/>
      <c r="X167" s="1168"/>
      <c r="Y167" s="1168"/>
      <c r="Z167" s="1168"/>
      <c r="AA167" s="1672"/>
      <c r="AB167" s="572"/>
      <c r="AC167" s="572"/>
      <c r="AD167" s="572"/>
      <c r="AE167" s="572"/>
    </row>
    <row s="4068" customFormat="1" customHeight="1" ht="11.25">
      <c r="A168" s="994"/>
      <c r="B168" s="1676"/>
      <c r="C168" s="1676"/>
      <c r="D168" s="347"/>
      <c r="K168" s="1168"/>
      <c r="L168" s="1676"/>
      <c r="M168" s="1676"/>
      <c r="N168" s="1168"/>
      <c r="O168" s="1168"/>
      <c r="P168" s="1168"/>
      <c r="Q168" s="1168"/>
      <c r="R168" s="1676"/>
      <c r="S168" s="1168"/>
      <c r="T168" s="1168"/>
      <c r="U168" s="550"/>
      <c r="V168" s="1168"/>
      <c r="W168" s="1168"/>
      <c r="X168" s="1168"/>
      <c r="Y168" s="1168"/>
      <c r="Z168" s="1168"/>
      <c r="AA168" s="1672"/>
      <c r="AB168" s="572"/>
      <c r="AC168" s="572"/>
      <c r="AD168" s="572"/>
      <c r="AE168" s="572"/>
    </row>
    <row s="4068" customFormat="1" customHeight="1" ht="11.25">
      <c r="A169" s="994"/>
      <c r="B169" s="1676"/>
      <c r="C169" s="1676"/>
      <c r="D169" s="347"/>
      <c r="K169" s="1168"/>
      <c r="L169" s="1676"/>
      <c r="M169" s="1676"/>
      <c r="N169" s="1168"/>
      <c r="O169" s="1168"/>
      <c r="P169" s="1168"/>
      <c r="Q169" s="1168"/>
      <c r="R169" s="1676"/>
      <c r="S169" s="1168"/>
      <c r="T169" s="1168"/>
      <c r="U169" s="550"/>
      <c r="V169" s="1168"/>
      <c r="W169" s="1168"/>
      <c r="X169" s="1168"/>
      <c r="Y169" s="1168"/>
      <c r="Z169" s="1168"/>
      <c r="AA169" s="1672"/>
      <c r="AB169" s="572"/>
      <c r="AC169" s="572"/>
      <c r="AD169" s="572"/>
      <c r="AE169" s="572"/>
    </row>
    <row s="4068" customFormat="1" customHeight="1" ht="11.25">
      <c r="A170" s="994"/>
      <c r="B170" s="1676"/>
      <c r="C170" s="1676"/>
      <c r="D170" s="347"/>
      <c r="K170" s="1168"/>
      <c r="L170" s="1676"/>
      <c r="M170" s="1676"/>
      <c r="N170" s="1168"/>
      <c r="O170" s="1168"/>
      <c r="P170" s="1168"/>
      <c r="Q170" s="1168"/>
      <c r="R170" s="1676"/>
      <c r="S170" s="1168"/>
      <c r="T170" s="1168"/>
      <c r="U170" s="550"/>
      <c r="V170" s="1168"/>
      <c r="W170" s="1168"/>
      <c r="X170" s="1168"/>
      <c r="Y170" s="1168"/>
      <c r="Z170" s="1168"/>
      <c r="AA170" s="1672"/>
      <c r="AB170" s="572"/>
      <c r="AC170" s="572"/>
      <c r="AD170" s="572"/>
      <c r="AE170" s="572"/>
    </row>
    <row s="4068" customFormat="1" customHeight="1" ht="11.25">
      <c r="A171" s="994"/>
      <c r="B171" s="1676"/>
      <c r="C171" s="1676"/>
      <c r="D171" s="347"/>
      <c r="K171" s="1168"/>
      <c r="L171" s="1676"/>
      <c r="M171" s="1676"/>
      <c r="N171" s="1168"/>
      <c r="O171" s="1168"/>
      <c r="P171" s="1168"/>
      <c r="Q171" s="1168"/>
      <c r="R171" s="1676"/>
      <c r="S171" s="1168"/>
      <c r="T171" s="1168"/>
      <c r="U171" s="550"/>
      <c r="V171" s="1168"/>
      <c r="W171" s="1168"/>
      <c r="X171" s="1168"/>
      <c r="Y171" s="1168"/>
      <c r="Z171" s="1168"/>
      <c r="AA171" s="1672"/>
      <c r="AB171" s="572"/>
      <c r="AC171" s="572"/>
      <c r="AD171" s="572"/>
      <c r="AE171" s="572"/>
    </row>
    <row s="4068" customFormat="1" customHeight="1" ht="11.25">
      <c r="A172" s="994"/>
      <c r="B172" s="1676"/>
      <c r="C172" s="1676"/>
      <c r="D172" s="347"/>
      <c r="K172" s="1168"/>
      <c r="L172" s="1676"/>
      <c r="M172" s="1676"/>
      <c r="N172" s="1168"/>
      <c r="O172" s="1168"/>
      <c r="P172" s="1168"/>
      <c r="Q172" s="1168"/>
      <c r="R172" s="1676"/>
      <c r="S172" s="1168"/>
      <c r="T172" s="1168"/>
      <c r="U172" s="550"/>
      <c r="V172" s="1168"/>
      <c r="W172" s="1168"/>
      <c r="X172" s="1168"/>
      <c r="Y172" s="1168"/>
      <c r="Z172" s="1168"/>
      <c r="AA172" s="1672"/>
      <c r="AB172" s="572"/>
      <c r="AC172" s="572"/>
      <c r="AD172" s="572"/>
      <c r="AE172" s="572"/>
    </row>
    <row s="4068" customFormat="1" customHeight="1" ht="11.25">
      <c r="A173" s="994"/>
      <c r="B173" s="1676"/>
      <c r="C173" s="1676"/>
      <c r="D173" s="347"/>
      <c r="K173" s="1168"/>
      <c r="L173" s="1676"/>
      <c r="M173" s="1676"/>
      <c r="N173" s="1168"/>
      <c r="O173" s="1168"/>
      <c r="P173" s="1168"/>
      <c r="Q173" s="1168"/>
      <c r="R173" s="1676"/>
      <c r="S173" s="1168"/>
      <c r="T173" s="1168"/>
      <c r="U173" s="550"/>
      <c r="V173" s="1168"/>
      <c r="W173" s="1168"/>
      <c r="X173" s="1168"/>
      <c r="Y173" s="1168"/>
      <c r="Z173" s="1168"/>
      <c r="AA173" s="1672"/>
      <c r="AB173" s="572"/>
      <c r="AC173" s="572"/>
      <c r="AD173" s="572"/>
      <c r="AE173" s="572"/>
    </row>
    <row s="4068" customFormat="1" customHeight="1" ht="11.25">
      <c r="A174" s="994"/>
      <c r="B174" s="1676"/>
      <c r="C174" s="1676"/>
      <c r="D174" s="347"/>
      <c r="K174" s="1168"/>
      <c r="L174" s="1676"/>
      <c r="M174" s="1676"/>
      <c r="N174" s="1168"/>
      <c r="O174" s="1168"/>
      <c r="P174" s="1168"/>
      <c r="Q174" s="1168"/>
      <c r="R174" s="1676"/>
      <c r="S174" s="1168"/>
      <c r="T174" s="1168"/>
      <c r="U174" s="550"/>
      <c r="V174" s="1168"/>
      <c r="W174" s="1168"/>
      <c r="X174" s="1168"/>
      <c r="Y174" s="1168"/>
      <c r="Z174" s="1168"/>
      <c r="AA174" s="1672"/>
      <c r="AB174" s="572"/>
      <c r="AC174" s="572"/>
      <c r="AD174" s="572"/>
      <c r="AE174" s="572"/>
    </row>
    <row s="4068" customFormat="1" customHeight="1" ht="11.25">
      <c r="A175" s="994"/>
      <c r="B175" s="1676"/>
      <c r="C175" s="1676"/>
      <c r="D175" s="347"/>
      <c r="K175" s="1168"/>
      <c r="L175" s="1676"/>
      <c r="M175" s="1676"/>
      <c r="N175" s="1168"/>
      <c r="O175" s="1168"/>
      <c r="P175" s="1168"/>
      <c r="Q175" s="1168"/>
      <c r="R175" s="1676"/>
      <c r="S175" s="1168"/>
      <c r="T175" s="1168"/>
      <c r="U175" s="550"/>
      <c r="V175" s="1168"/>
      <c r="W175" s="1168"/>
      <c r="X175" s="1168"/>
      <c r="Y175" s="1168"/>
      <c r="Z175" s="1168"/>
      <c r="AA175" s="1672"/>
      <c r="AB175" s="572"/>
      <c r="AC175" s="572"/>
      <c r="AD175" s="572"/>
      <c r="AE175" s="572"/>
    </row>
    <row s="4068" customFormat="1" customHeight="1" ht="11.25">
      <c r="A176" s="994"/>
      <c r="B176" s="1676"/>
      <c r="C176" s="1676"/>
      <c r="D176" s="347"/>
      <c r="K176" s="1168"/>
      <c r="L176" s="1676"/>
      <c r="M176" s="1676"/>
      <c r="N176" s="1168"/>
      <c r="O176" s="1168"/>
      <c r="P176" s="1168"/>
      <c r="Q176" s="1168"/>
      <c r="R176" s="1676"/>
      <c r="S176" s="1168"/>
      <c r="T176" s="1168"/>
      <c r="U176" s="550"/>
      <c r="V176" s="1168"/>
      <c r="W176" s="1168"/>
      <c r="X176" s="1168"/>
      <c r="Y176" s="1168"/>
      <c r="Z176" s="1168"/>
      <c r="AA176" s="1672"/>
      <c r="AB176" s="572"/>
      <c r="AC176" s="572"/>
      <c r="AD176" s="572"/>
      <c r="AE176" s="572"/>
    </row>
    <row s="4068" customFormat="1" customHeight="1" ht="11.25">
      <c r="A177" s="994"/>
      <c r="B177" s="1676"/>
      <c r="C177" s="1676"/>
      <c r="D177" s="347"/>
      <c r="K177" s="1168"/>
      <c r="L177" s="1676"/>
      <c r="M177" s="1676"/>
      <c r="N177" s="1168"/>
      <c r="O177" s="1168"/>
      <c r="P177" s="1168"/>
      <c r="Q177" s="1168"/>
      <c r="R177" s="1676"/>
      <c r="S177" s="1168"/>
      <c r="T177" s="1168"/>
      <c r="U177" s="550"/>
      <c r="V177" s="1168"/>
      <c r="W177" s="1168"/>
      <c r="X177" s="1168"/>
      <c r="Y177" s="1168"/>
      <c r="Z177" s="1168"/>
      <c r="AA177" s="1672"/>
      <c r="AB177" s="572"/>
      <c r="AC177" s="572"/>
      <c r="AD177" s="572"/>
      <c r="AE177" s="572"/>
    </row>
    <row s="4068" customFormat="1" customHeight="1" ht="11.25">
      <c r="A178" s="994"/>
      <c r="B178" s="1676"/>
      <c r="C178" s="1676"/>
      <c r="D178" s="347"/>
      <c r="K178" s="1168"/>
      <c r="L178" s="1676"/>
      <c r="M178" s="1676"/>
      <c r="N178" s="1168"/>
      <c r="O178" s="1168"/>
      <c r="P178" s="1168"/>
      <c r="Q178" s="1168"/>
      <c r="R178" s="1676"/>
      <c r="S178" s="1168"/>
      <c r="T178" s="1168"/>
      <c r="U178" s="550"/>
      <c r="V178" s="1168"/>
      <c r="W178" s="1168"/>
      <c r="X178" s="1168"/>
      <c r="Y178" s="1168"/>
      <c r="Z178" s="1168"/>
      <c r="AA178" s="1672"/>
      <c r="AB178" s="572"/>
      <c r="AC178" s="572"/>
      <c r="AD178" s="572"/>
      <c r="AE178" s="572"/>
    </row>
    <row s="4068" customFormat="1" customHeight="1" ht="11.25">
      <c r="A179" s="994"/>
      <c r="B179" s="1676"/>
      <c r="C179" s="1676"/>
      <c r="D179" s="347"/>
      <c r="K179" s="1168"/>
      <c r="L179" s="1676"/>
      <c r="M179" s="1676"/>
      <c r="N179" s="1168"/>
      <c r="O179" s="1168"/>
      <c r="P179" s="1168"/>
      <c r="Q179" s="1168"/>
      <c r="R179" s="1676"/>
      <c r="S179" s="1168"/>
      <c r="T179" s="1168"/>
      <c r="U179" s="550"/>
      <c r="V179" s="1168"/>
      <c r="W179" s="1168"/>
      <c r="X179" s="1168"/>
      <c r="Y179" s="1168"/>
      <c r="Z179" s="1168"/>
      <c r="AA179" s="1672"/>
      <c r="AB179" s="572"/>
      <c r="AC179" s="572"/>
      <c r="AD179" s="572"/>
      <c r="AE179" s="572"/>
    </row>
    <row s="4068" customFormat="1" customHeight="1" ht="11.25">
      <c r="A180" s="994"/>
      <c r="B180" s="1676"/>
      <c r="C180" s="1676"/>
      <c r="D180" s="347"/>
      <c r="K180" s="1168"/>
      <c r="L180" s="1676"/>
      <c r="M180" s="1676"/>
      <c r="N180" s="1168"/>
      <c r="O180" s="1168"/>
      <c r="P180" s="1168"/>
      <c r="Q180" s="1168"/>
      <c r="R180" s="1676"/>
      <c r="S180" s="1168"/>
      <c r="T180" s="1168"/>
      <c r="U180" s="550"/>
      <c r="V180" s="1168"/>
      <c r="W180" s="1168"/>
      <c r="X180" s="1168"/>
      <c r="Y180" s="1168"/>
      <c r="Z180" s="1168"/>
      <c r="AA180" s="1672"/>
      <c r="AB180" s="572"/>
      <c r="AC180" s="572"/>
      <c r="AD180" s="572"/>
      <c r="AE180" s="572"/>
    </row>
    <row s="4068" customFormat="1" customHeight="1" ht="11.25">
      <c r="A181" s="994"/>
      <c r="B181" s="1676"/>
      <c r="C181" s="1676"/>
      <c r="D181" s="347"/>
      <c r="K181" s="1168"/>
      <c r="L181" s="1676"/>
      <c r="M181" s="1676"/>
      <c r="N181" s="1168"/>
      <c r="O181" s="1168"/>
      <c r="P181" s="1168"/>
      <c r="Q181" s="1168"/>
      <c r="R181" s="1676"/>
      <c r="S181" s="1168"/>
      <c r="T181" s="1168"/>
      <c r="U181" s="550"/>
      <c r="V181" s="1168"/>
      <c r="W181" s="1168"/>
      <c r="X181" s="1168"/>
      <c r="Y181" s="1168"/>
      <c r="Z181" s="1168"/>
      <c r="AA181" s="1672"/>
      <c r="AB181" s="572"/>
      <c r="AC181" s="572"/>
      <c r="AD181" s="572"/>
      <c r="AE181" s="572"/>
    </row>
    <row s="4068" customFormat="1" customHeight="1" ht="11.25">
      <c r="A182" s="994"/>
      <c r="B182" s="1676"/>
      <c r="C182" s="1676"/>
      <c r="D182" s="347"/>
      <c r="K182" s="1168"/>
      <c r="L182" s="1676"/>
      <c r="M182" s="1676"/>
      <c r="N182" s="1168"/>
      <c r="O182" s="1168"/>
      <c r="P182" s="1168"/>
      <c r="Q182" s="1168"/>
      <c r="R182" s="1676"/>
      <c r="S182" s="1168"/>
      <c r="T182" s="1168"/>
      <c r="U182" s="550"/>
      <c r="V182" s="1168"/>
      <c r="W182" s="1168"/>
      <c r="X182" s="1168"/>
      <c r="Y182" s="1168"/>
      <c r="Z182" s="1168"/>
      <c r="AA182" s="1672"/>
      <c r="AB182" s="572"/>
      <c r="AC182" s="572"/>
      <c r="AD182" s="572"/>
      <c r="AE182" s="572"/>
    </row>
    <row s="4068" customFormat="1" customHeight="1" ht="11.25">
      <c r="A183" s="994"/>
      <c r="B183" s="1676"/>
      <c r="C183" s="1676"/>
      <c r="D183" s="347"/>
      <c r="K183" s="1168"/>
      <c r="L183" s="1676"/>
      <c r="M183" s="1676"/>
      <c r="N183" s="1168"/>
      <c r="O183" s="1168"/>
      <c r="P183" s="1168"/>
      <c r="Q183" s="1168"/>
      <c r="R183" s="1676"/>
      <c r="S183" s="1168"/>
      <c r="T183" s="1168"/>
      <c r="U183" s="550"/>
      <c r="V183" s="1168"/>
      <c r="W183" s="1168"/>
      <c r="X183" s="1168"/>
      <c r="Y183" s="1168"/>
      <c r="Z183" s="1168"/>
      <c r="AA183" s="1672"/>
      <c r="AB183" s="572"/>
      <c r="AC183" s="572"/>
      <c r="AD183" s="572"/>
      <c r="AE183" s="572"/>
    </row>
    <row s="4068" customFormat="1" customHeight="1" ht="11.25">
      <c r="A184" s="994"/>
      <c r="B184" s="1676"/>
      <c r="C184" s="1676"/>
      <c r="D184" s="347"/>
      <c r="K184" s="1168"/>
      <c r="L184" s="1676"/>
      <c r="M184" s="1676"/>
      <c r="N184" s="1168"/>
      <c r="O184" s="1168"/>
      <c r="P184" s="1168"/>
      <c r="Q184" s="1168"/>
      <c r="R184" s="1676"/>
      <c r="S184" s="1168"/>
      <c r="T184" s="1168"/>
      <c r="U184" s="550"/>
      <c r="V184" s="1168"/>
      <c r="W184" s="1168"/>
      <c r="X184" s="1168"/>
      <c r="Y184" s="1168"/>
      <c r="Z184" s="1168"/>
      <c r="AA184" s="1672"/>
      <c r="AB184" s="572"/>
      <c r="AC184" s="572"/>
      <c r="AD184" s="572"/>
      <c r="AE184" s="572"/>
    </row>
    <row s="4068" customFormat="1" customHeight="1" ht="11.25">
      <c r="A185" s="994"/>
      <c r="B185" s="1676"/>
      <c r="C185" s="1676"/>
      <c r="D185" s="347"/>
      <c r="K185" s="1168"/>
      <c r="L185" s="1676"/>
      <c r="M185" s="1676"/>
      <c r="N185" s="1168"/>
      <c r="O185" s="1168"/>
      <c r="P185" s="1168"/>
      <c r="Q185" s="1168"/>
      <c r="R185" s="1676"/>
      <c r="S185" s="1168"/>
      <c r="T185" s="1168"/>
      <c r="U185" s="550"/>
      <c r="V185" s="1168"/>
      <c r="W185" s="1168"/>
      <c r="X185" s="1168"/>
      <c r="Y185" s="1168"/>
      <c r="Z185" s="1168"/>
      <c r="AA185" s="1672"/>
      <c r="AB185" s="572"/>
      <c r="AC185" s="572"/>
      <c r="AD185" s="572"/>
      <c r="AE185" s="572"/>
    </row>
    <row s="4068" customFormat="1" customHeight="1" ht="11.25">
      <c r="A186" s="994"/>
      <c r="B186" s="1676"/>
      <c r="C186" s="1676"/>
      <c r="D186" s="347"/>
      <c r="K186" s="1168"/>
      <c r="L186" s="1676"/>
      <c r="M186" s="1676"/>
      <c r="N186" s="1168"/>
      <c r="O186" s="1168"/>
      <c r="P186" s="1168"/>
      <c r="Q186" s="1168"/>
      <c r="R186" s="1676"/>
      <c r="S186" s="1168"/>
      <c r="T186" s="1168"/>
      <c r="U186" s="550"/>
      <c r="V186" s="1168"/>
      <c r="W186" s="1168"/>
      <c r="X186" s="1168"/>
      <c r="Y186" s="1168"/>
      <c r="Z186" s="1168"/>
      <c r="AA186" s="1672"/>
      <c r="AB186" s="572"/>
      <c r="AC186" s="572"/>
      <c r="AD186" s="572"/>
      <c r="AE186" s="572"/>
    </row>
    <row s="4068" customFormat="1" customHeight="1" ht="11.25">
      <c r="A187" s="994"/>
      <c r="B187" s="1676"/>
      <c r="C187" s="1676"/>
      <c r="D187" s="347"/>
      <c r="K187" s="1168"/>
      <c r="L187" s="1676"/>
      <c r="M187" s="1676"/>
      <c r="N187" s="1168"/>
      <c r="O187" s="1168"/>
      <c r="P187" s="1168"/>
      <c r="Q187" s="1168"/>
      <c r="R187" s="1676"/>
      <c r="S187" s="1168"/>
      <c r="T187" s="1168"/>
      <c r="U187" s="550"/>
      <c r="V187" s="1168"/>
      <c r="W187" s="1168"/>
      <c r="X187" s="1168"/>
      <c r="Y187" s="1168"/>
      <c r="Z187" s="1168"/>
      <c r="AA187" s="1672"/>
      <c r="AB187" s="572"/>
      <c r="AC187" s="572"/>
      <c r="AD187" s="572"/>
      <c r="AE187" s="572"/>
    </row>
    <row s="4068" customFormat="1" customHeight="1" ht="11.25">
      <c r="A188" s="994"/>
      <c r="B188" s="1676"/>
      <c r="C188" s="1676"/>
      <c r="D188" s="347"/>
      <c r="K188" s="1168"/>
      <c r="L188" s="1676"/>
      <c r="M188" s="1676"/>
      <c r="N188" s="1168"/>
      <c r="O188" s="1168"/>
      <c r="P188" s="1168"/>
      <c r="Q188" s="1168"/>
      <c r="R188" s="1676"/>
      <c r="S188" s="1168"/>
      <c r="T188" s="1168"/>
      <c r="U188" s="550"/>
      <c r="V188" s="1168"/>
      <c r="W188" s="1168"/>
      <c r="X188" s="1168"/>
      <c r="Y188" s="1168"/>
      <c r="Z188" s="1168"/>
      <c r="AA188" s="1672"/>
      <c r="AB188" s="572"/>
      <c r="AC188" s="572"/>
      <c r="AD188" s="572"/>
      <c r="AE188" s="572"/>
    </row>
    <row s="4068" customFormat="1" customHeight="1" ht="11.25">
      <c r="A189" s="994"/>
      <c r="B189" s="1676"/>
      <c r="C189" s="1676"/>
      <c r="D189" s="347"/>
      <c r="K189" s="1168"/>
      <c r="L189" s="1676"/>
      <c r="M189" s="1676"/>
      <c r="N189" s="1168"/>
      <c r="O189" s="1168"/>
      <c r="P189" s="1168"/>
      <c r="Q189" s="1168"/>
      <c r="R189" s="1676"/>
      <c r="S189" s="1168"/>
      <c r="T189" s="1168"/>
      <c r="U189" s="550"/>
      <c r="V189" s="1168"/>
      <c r="W189" s="1168"/>
      <c r="X189" s="1168"/>
      <c r="Y189" s="1168"/>
      <c r="Z189" s="1168"/>
      <c r="AA189" s="1672"/>
      <c r="AB189" s="572"/>
      <c r="AC189" s="572"/>
      <c r="AD189" s="572"/>
      <c r="AE189" s="572"/>
    </row>
    <row s="4068" customFormat="1" customHeight="1" ht="11.25">
      <c r="A190" s="994"/>
      <c r="B190" s="1676"/>
      <c r="C190" s="1676"/>
      <c r="D190" s="347"/>
      <c r="K190" s="1168"/>
      <c r="L190" s="1676"/>
      <c r="M190" s="1676"/>
      <c r="N190" s="1168"/>
      <c r="O190" s="1168"/>
      <c r="P190" s="1168"/>
      <c r="Q190" s="1168"/>
      <c r="R190" s="1676"/>
      <c r="S190" s="1168"/>
      <c r="T190" s="1168"/>
      <c r="U190" s="550"/>
      <c r="V190" s="1168"/>
      <c r="W190" s="1168"/>
      <c r="X190" s="1168"/>
      <c r="Y190" s="1168"/>
      <c r="Z190" s="1168"/>
      <c r="AA190" s="1672"/>
      <c r="AB190" s="572"/>
      <c r="AC190" s="572"/>
      <c r="AD190" s="572"/>
      <c r="AE190" s="572"/>
    </row>
    <row s="4068" customFormat="1" customHeight="1" ht="11.25">
      <c r="A191" s="994"/>
      <c r="B191" s="1676"/>
      <c r="C191" s="1676"/>
      <c r="D191" s="347"/>
      <c r="K191" s="1168"/>
      <c r="L191" s="1676"/>
      <c r="M191" s="1676"/>
      <c r="N191" s="1168"/>
      <c r="O191" s="1168"/>
      <c r="P191" s="1168"/>
      <c r="Q191" s="1168"/>
      <c r="R191" s="1676"/>
      <c r="S191" s="1168"/>
      <c r="T191" s="1168"/>
      <c r="U191" s="550"/>
      <c r="V191" s="1168"/>
      <c r="W191" s="1168"/>
      <c r="X191" s="1168"/>
      <c r="Y191" s="1168"/>
      <c r="Z191" s="1168"/>
      <c r="AA191" s="1672"/>
      <c r="AB191" s="572"/>
      <c r="AC191" s="572"/>
      <c r="AD191" s="572"/>
      <c r="AE191" s="572"/>
    </row>
    <row s="4068" customFormat="1" customHeight="1" ht="11.25">
      <c r="A192" s="994"/>
      <c r="B192" s="1676"/>
      <c r="C192" s="1676"/>
      <c r="D192" s="347"/>
      <c r="K192" s="1168"/>
      <c r="L192" s="1676"/>
      <c r="M192" s="1676"/>
      <c r="N192" s="1168"/>
      <c r="O192" s="1168"/>
      <c r="P192" s="1168"/>
      <c r="Q192" s="1168"/>
      <c r="R192" s="1676"/>
      <c r="S192" s="1168"/>
      <c r="T192" s="1168"/>
      <c r="U192" s="550"/>
      <c r="V192" s="1168"/>
      <c r="W192" s="1168"/>
      <c r="X192" s="1168"/>
      <c r="Y192" s="1168"/>
      <c r="Z192" s="1168"/>
      <c r="AA192" s="1672"/>
      <c r="AB192" s="572"/>
      <c r="AC192" s="572"/>
      <c r="AD192" s="572"/>
      <c r="AE192" s="572"/>
    </row>
    <row s="4068" customFormat="1" customHeight="1" ht="11.25">
      <c r="A193" s="994"/>
      <c r="B193" s="1676"/>
      <c r="C193" s="1676"/>
      <c r="D193" s="347"/>
      <c r="K193" s="1168"/>
      <c r="L193" s="1676"/>
      <c r="M193" s="1676"/>
      <c r="N193" s="1168"/>
      <c r="O193" s="1168"/>
      <c r="P193" s="1168"/>
      <c r="Q193" s="1168"/>
      <c r="R193" s="1676"/>
      <c r="S193" s="1168"/>
      <c r="T193" s="1168"/>
      <c r="U193" s="550"/>
      <c r="V193" s="1168"/>
      <c r="W193" s="1168"/>
      <c r="X193" s="1168"/>
      <c r="Y193" s="1168"/>
      <c r="Z193" s="1168"/>
      <c r="AA193" s="1672"/>
      <c r="AB193" s="572"/>
      <c r="AC193" s="572"/>
      <c r="AD193" s="572"/>
      <c r="AE193" s="572"/>
    </row>
    <row s="4068" customFormat="1" customHeight="1" ht="11.25">
      <c r="A194" s="994"/>
      <c r="B194" s="1676"/>
      <c r="C194" s="1676"/>
      <c r="D194" s="347"/>
      <c r="K194" s="1168"/>
      <c r="L194" s="1676"/>
      <c r="M194" s="1676"/>
      <c r="N194" s="1168"/>
      <c r="O194" s="1168"/>
      <c r="P194" s="1168"/>
      <c r="Q194" s="1168"/>
      <c r="R194" s="1676"/>
      <c r="S194" s="1168"/>
      <c r="T194" s="1168"/>
      <c r="U194" s="550"/>
      <c r="V194" s="1168"/>
      <c r="W194" s="1168"/>
      <c r="X194" s="1168"/>
      <c r="Y194" s="1168"/>
      <c r="Z194" s="1168"/>
      <c r="AA194" s="1672"/>
      <c r="AB194" s="572"/>
      <c r="AC194" s="572"/>
      <c r="AD194" s="572"/>
      <c r="AE194" s="572"/>
    </row>
    <row s="4068" customFormat="1" customHeight="1" ht="11.25">
      <c r="A195" s="994"/>
      <c r="B195" s="1676"/>
      <c r="C195" s="1676"/>
      <c r="D195" s="347"/>
      <c r="K195" s="1168"/>
      <c r="L195" s="1676"/>
      <c r="M195" s="1676"/>
      <c r="N195" s="1168"/>
      <c r="O195" s="1168"/>
      <c r="P195" s="1168"/>
      <c r="Q195" s="1168"/>
      <c r="R195" s="1676"/>
      <c r="S195" s="1168"/>
      <c r="T195" s="1168"/>
      <c r="U195" s="550"/>
      <c r="V195" s="1168"/>
      <c r="W195" s="1168"/>
      <c r="X195" s="1168"/>
      <c r="Y195" s="1168"/>
      <c r="Z195" s="1168"/>
      <c r="AA195" s="1672"/>
      <c r="AB195" s="572"/>
      <c r="AC195" s="572"/>
      <c r="AD195" s="572"/>
      <c r="AE195" s="572"/>
    </row>
    <row r="199" customHeight="1" ht="11.25">
      <c r="A199" s="997"/>
      <c r="B199" s="1671"/>
      <c r="D199" s="1671"/>
      <c r="K199" s="1671"/>
      <c r="N199" s="1671"/>
      <c r="O199" s="1671"/>
      <c r="P199" s="1671"/>
      <c r="Q199" s="1671"/>
      <c r="S199" s="1671"/>
      <c r="T199" s="1671"/>
      <c r="U199" s="1671"/>
      <c r="V199" s="1671"/>
      <c r="W199" s="1671"/>
      <c r="X199" s="1671"/>
      <c r="Y199" s="1671"/>
      <c r="Z199" s="1671"/>
      <c r="AA199" s="1671"/>
      <c r="AB199" s="1671"/>
      <c r="AC199" s="1671"/>
      <c r="AD199" s="1671"/>
      <c r="AE199" s="1671"/>
    </row>
    <row customHeight="1" ht="11.25">
      <c r="A200" s="997"/>
      <c r="B200" s="1671"/>
      <c r="D200" s="1671"/>
      <c r="K200" s="1671"/>
      <c r="N200" s="1671"/>
      <c r="O200" s="1671"/>
      <c r="P200" s="1671"/>
      <c r="Q200" s="1671"/>
      <c r="S200" s="1671"/>
      <c r="T200" s="1671"/>
      <c r="U200" s="1671"/>
      <c r="V200" s="1671"/>
      <c r="W200" s="1671"/>
      <c r="X200" s="1671"/>
      <c r="Y200" s="1671"/>
      <c r="Z200" s="1671"/>
      <c r="AA200" s="1671"/>
      <c r="AB200" s="1671"/>
      <c r="AC200" s="1671"/>
      <c r="AD200" s="1671"/>
      <c r="AE200" s="1671"/>
    </row>
    <row customHeight="1" ht="11.25">
      <c r="A201" s="997"/>
      <c r="B201" s="1671"/>
      <c r="D201" s="1671"/>
      <c r="K201" s="1671"/>
      <c r="N201" s="1671"/>
      <c r="O201" s="1671"/>
      <c r="P201" s="1671"/>
      <c r="Q201" s="1671"/>
      <c r="S201" s="1671"/>
      <c r="T201" s="1671"/>
      <c r="U201" s="1671"/>
      <c r="V201" s="1671"/>
      <c r="W201" s="1671"/>
      <c r="X201" s="1671"/>
      <c r="Y201" s="1671"/>
      <c r="Z201" s="1671"/>
      <c r="AA201" s="1671"/>
      <c r="AB201" s="1671"/>
      <c r="AC201" s="1671"/>
      <c r="AD201" s="1671"/>
      <c r="AE201" s="1671"/>
    </row>
    <row customHeight="1" ht="11.25">
      <c r="A202" s="997"/>
      <c r="B202" s="1671"/>
      <c r="D202" s="1671"/>
      <c r="K202" s="1671"/>
      <c r="N202" s="1671"/>
      <c r="O202" s="1671"/>
      <c r="P202" s="1671"/>
      <c r="Q202" s="1671"/>
      <c r="S202" s="1671"/>
      <c r="T202" s="1671"/>
      <c r="U202" s="1671"/>
      <c r="V202" s="1671"/>
      <c r="W202" s="1671"/>
      <c r="X202" s="1671"/>
      <c r="Y202" s="1671"/>
      <c r="Z202" s="1671"/>
      <c r="AA202" s="1671"/>
      <c r="AB202" s="1671"/>
      <c r="AC202" s="1671"/>
      <c r="AD202" s="1671"/>
      <c r="AE202" s="1671"/>
    </row>
    <row customHeight="1" ht="11.25">
      <c r="A203" s="997"/>
      <c r="B203" s="1671"/>
      <c r="D203" s="1671"/>
      <c r="K203" s="1671"/>
      <c r="N203" s="1671"/>
      <c r="O203" s="1671"/>
      <c r="P203" s="1671"/>
      <c r="Q203" s="1671"/>
      <c r="S203" s="1671"/>
      <c r="T203" s="1671"/>
      <c r="U203" s="1671"/>
      <c r="V203" s="1671"/>
      <c r="W203" s="1671"/>
      <c r="X203" s="1671"/>
      <c r="Y203" s="1671"/>
      <c r="Z203" s="1671"/>
      <c r="AA203" s="1671"/>
      <c r="AB203" s="1671"/>
      <c r="AC203" s="1671"/>
      <c r="AD203" s="1671"/>
      <c r="AE203" s="1671"/>
    </row>
    <row customHeight="1" ht="11.25">
      <c r="A204" s="997"/>
      <c r="B204" s="1671"/>
      <c r="D204" s="1671"/>
      <c r="K204" s="1671"/>
      <c r="N204" s="1671"/>
      <c r="O204" s="1671"/>
      <c r="P204" s="1671"/>
      <c r="Q204" s="1671"/>
      <c r="S204" s="1671"/>
      <c r="T204" s="1671"/>
      <c r="U204" s="1671"/>
      <c r="V204" s="1671"/>
      <c r="W204" s="1671"/>
      <c r="X204" s="1671"/>
      <c r="Y204" s="1671"/>
      <c r="Z204" s="1671"/>
      <c r="AA204" s="1671"/>
      <c r="AB204" s="1671"/>
      <c r="AC204" s="1671"/>
      <c r="AD204" s="1671"/>
      <c r="AE204" s="1671"/>
    </row>
    <row customHeight="1" ht="11.25">
      <c r="A205" s="997"/>
      <c r="B205" s="1671"/>
      <c r="D205" s="1671"/>
      <c r="K205" s="1671"/>
      <c r="N205" s="1671"/>
      <c r="O205" s="1671"/>
      <c r="P205" s="1671"/>
      <c r="Q205" s="1671"/>
      <c r="S205" s="1671"/>
      <c r="T205" s="1671"/>
      <c r="U205" s="1671"/>
      <c r="V205" s="1671"/>
      <c r="W205" s="1671"/>
      <c r="X205" s="1671"/>
      <c r="Y205" s="1671"/>
      <c r="Z205" s="1671"/>
      <c r="AA205" s="1671"/>
      <c r="AB205" s="1671"/>
      <c r="AC205" s="1671"/>
      <c r="AD205" s="1671"/>
      <c r="AE205" s="1671"/>
    </row>
    <row customHeight="1" ht="11.25">
      <c r="A206" s="997"/>
      <c r="B206" s="1671"/>
      <c r="D206" s="1671"/>
      <c r="K206" s="1671"/>
      <c r="N206" s="1671"/>
      <c r="O206" s="1671"/>
      <c r="P206" s="1671"/>
      <c r="Q206" s="1671"/>
      <c r="S206" s="1671"/>
      <c r="T206" s="1671"/>
      <c r="U206" s="1671"/>
      <c r="V206" s="1671"/>
      <c r="W206" s="1671"/>
      <c r="X206" s="1671"/>
      <c r="Y206" s="1671"/>
      <c r="Z206" s="1671"/>
      <c r="AA206" s="1671"/>
      <c r="AB206" s="1671"/>
      <c r="AC206" s="1671"/>
      <c r="AD206" s="1671"/>
      <c r="AE206" s="1671"/>
    </row>
    <row customHeight="1" ht="11.25">
      <c r="A207" s="997"/>
      <c r="B207" s="1671"/>
      <c r="D207" s="1671"/>
      <c r="K207" s="1671"/>
      <c r="N207" s="1671"/>
      <c r="O207" s="1671"/>
      <c r="P207" s="1671"/>
      <c r="Q207" s="1671"/>
      <c r="S207" s="1671"/>
      <c r="T207" s="1671"/>
      <c r="U207" s="1671"/>
      <c r="V207" s="1671"/>
      <c r="W207" s="1671"/>
      <c r="X207" s="1671"/>
      <c r="Y207" s="1671"/>
      <c r="Z207" s="1671"/>
      <c r="AA207" s="1671"/>
      <c r="AB207" s="1671"/>
      <c r="AC207" s="1671"/>
      <c r="AD207" s="1671"/>
      <c r="AE207" s="1671"/>
    </row>
    <row customHeight="1" ht="11.25">
      <c r="A208" s="997"/>
      <c r="B208" s="1671"/>
      <c r="D208" s="1671"/>
      <c r="K208" s="1671"/>
      <c r="N208" s="1671"/>
      <c r="O208" s="1671"/>
      <c r="P208" s="1671"/>
      <c r="Q208" s="1671"/>
      <c r="S208" s="1671"/>
      <c r="T208" s="1671"/>
      <c r="U208" s="1671"/>
      <c r="V208" s="1671"/>
      <c r="W208" s="1671"/>
      <c r="X208" s="1671"/>
      <c r="Y208" s="1671"/>
      <c r="Z208" s="1671"/>
      <c r="AA208" s="1671"/>
      <c r="AB208" s="1671"/>
      <c r="AC208" s="1671"/>
      <c r="AD208" s="1671"/>
      <c r="AE208" s="1671"/>
    </row>
    <row customHeight="1" ht="11.25">
      <c r="A209" s="997"/>
      <c r="B209" s="1671"/>
      <c r="D209" s="1671"/>
      <c r="K209" s="1671"/>
      <c r="N209" s="1671"/>
      <c r="O209" s="1671"/>
      <c r="P209" s="1671"/>
      <c r="Q209" s="1671"/>
      <c r="S209" s="1671"/>
      <c r="T209" s="1671"/>
      <c r="U209" s="1671"/>
      <c r="V209" s="1671"/>
      <c r="W209" s="1671"/>
      <c r="X209" s="1671"/>
      <c r="Y209" s="1671"/>
      <c r="Z209" s="1671"/>
      <c r="AA209" s="1671"/>
      <c r="AB209" s="1671"/>
      <c r="AC209" s="1671"/>
      <c r="AD209" s="1671"/>
      <c r="AE209" s="1671"/>
    </row>
  </sheetData>
  <sheetProtection formatColumns="0" formatRows="0" autoFilter="0" sort="0" insertRows="0" insertColumns="1" deleteRows="0" deleteColumns="0"/>
  <mergeCells count="9">
    <mergeCell ref="F39:J39"/>
    <mergeCell ref="F40:J40"/>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1DB8C8-FBD8-D568-7778-F65793080F48}" mc:Ignorable="x14ac xr xr2 xr3">
  <sheetPr>
    <tabColor theme="9" tint="-0.25"/>
  </sheetPr>
  <dimension ref="A1:W101"/>
  <sheetViews>
    <sheetView topLeftCell="A1" showGridLines="0" zoomScale="90" workbookViewId="0">
      <selection activeCell="A1" sqref="A1"/>
    </sheetView>
  </sheetViews>
  <sheetFormatPr defaultColWidth="10.57421875" customHeight="1" defaultRowHeight="11.25"/>
  <cols>
    <col min="1" max="1" style="4243" width="9.140625" hidden="1" customWidth="1"/>
    <col min="2" max="2" style="2612" width="3.57421875" hidden="1" customWidth="1"/>
    <col min="3" max="3" style="3154" width="3.7109375" customWidth="1"/>
    <col min="4" max="4" style="3154" width="7.7109375" customWidth="1"/>
    <col min="5" max="5" style="3154" width="69.8515625" customWidth="1"/>
    <col min="6" max="6" style="3154" width="11.140625" customWidth="1"/>
    <col min="7" max="8" style="3154" width="44.00390625" hidden="1" customWidth="1"/>
    <col min="9" max="10" style="2624" width="44.00390625" customWidth="1"/>
    <col min="11" max="11" style="3154" width="74.00390625" customWidth="1"/>
    <col min="12" max="12" style="3154" width="3.7109375" customWidth="1"/>
    <col min="13" max="23" style="3154" width="10.57421875"/>
  </cols>
  <sheetData>
    <row s="2625" customFormat="1" customHeight="1" ht="11.25" hidden="1">
      <c r="A1" s="542"/>
      <c r="B1" s="517"/>
      <c r="G1" s="423">
        <v>4</v>
      </c>
      <c r="I1" s="423">
        <v>4</v>
      </c>
      <c r="K1" s="423">
        <v>5</v>
      </c>
    </row>
    <row customHeight="1" ht="3"/>
    <row customHeight="1" ht="75">
      <c r="D3" s="209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92"/>
      <c r="F3" s="2093"/>
    </row>
    <row s="2624" customFormat="1" customHeight="1" ht="20.25">
      <c r="A4" s="958"/>
      <c r="B4" s="517"/>
      <c r="D4" s="2079" t="str">
        <f>IF(org=0,"Не определено",org)</f>
        <v>МУП г. Азова "Теплоэнерго"</v>
      </c>
      <c r="E4" s="2080"/>
      <c r="F4" s="2081"/>
    </row>
    <row customHeight="1" ht="11.25">
      <c r="C5" s="515"/>
      <c r="D5" s="594"/>
      <c r="E5" s="594"/>
      <c r="F5" s="594"/>
      <c r="G5" s="594"/>
      <c r="H5" s="758"/>
      <c r="I5" s="594"/>
      <c r="J5" s="758"/>
      <c r="K5" s="594"/>
    </row>
    <row customHeight="1" ht="0.75">
      <c r="C6" s="515"/>
      <c r="D6" s="515"/>
      <c r="E6" s="528"/>
      <c r="F6" s="620"/>
      <c r="G6" s="1029"/>
      <c r="H6" s="1029"/>
      <c r="I6" s="1029" t="s">
        <v>116</v>
      </c>
      <c r="J6" s="1029"/>
    </row>
    <row customHeight="1" ht="11.25">
      <c r="D7" s="717"/>
      <c r="E7" s="2213" t="s">
        <v>104</v>
      </c>
      <c r="F7" s="2214"/>
      <c r="G7" s="2230" t="str">
        <f>IF(G6="","",INDEX(DIFFERENTIATION_UNMERGE_VD,MATCH(G6,DIFFERENTIATION_ID_DIFF,0)))</f>
        <v/>
      </c>
      <c r="H7" s="2231"/>
      <c r="I7" s="2230">
        <f>IF(I6="","",INDEX(DIFFERENTIATION_UNMERGE_VD,MATCH(I6,DIFFERENTIATION_ID_DIFF,0)))</f>
        <v>0</v>
      </c>
      <c r="J7" s="2231"/>
      <c r="K7" s="2028"/>
      <c r="L7" s="515"/>
    </row>
    <row customHeight="1" ht="11.25">
      <c r="A8" s="710"/>
      <c r="D8" s="717"/>
      <c r="E8" s="2213" t="s">
        <v>551</v>
      </c>
      <c r="F8" s="2214"/>
      <c r="G8" s="2230" t="str">
        <f>IF(G6="","",INDEX(DIFFERENTIATION_UNMERGE_AREA,MATCH(G6,DIFFERENTIATION_ID_DIFF,0)))</f>
        <v/>
      </c>
      <c r="H8" s="2231"/>
      <c r="I8" s="2230" t="str">
        <f>IF(I6="","",INDEX(DIFFERENTIATION_UNMERGE_AREA,MATCH(I6,DIFFERENTIATION_ID_DIFF,0)))</f>
        <v/>
      </c>
      <c r="J8" s="2231"/>
      <c r="K8" s="2036"/>
      <c r="L8" s="515"/>
    </row>
    <row customHeight="1" ht="11.25">
      <c r="A9" s="710"/>
      <c r="D9" s="717"/>
      <c r="E9" s="2213" t="s">
        <v>552</v>
      </c>
      <c r="F9" s="2214"/>
      <c r="G9" s="2230" t="str">
        <f>IF(G6="","",INDEX(DIFFERENTIATION_UNMERGE_SYSTEM,MATCH(G6,DIFFERENTIATION_ID_DIFF,0)))</f>
        <v/>
      </c>
      <c r="H9" s="2231"/>
      <c r="I9" s="2230" t="str">
        <f>IF(I6="","",INDEX(DIFFERENTIATION_UNMERGE_SYSTEM,MATCH(I6,DIFFERENTIATION_ID_DIFF,0)))</f>
        <v>без дифференциации</v>
      </c>
      <c r="J9" s="2231"/>
      <c r="K9" s="2036"/>
      <c r="L9" s="515"/>
    </row>
    <row s="2624" customFormat="1" customHeight="1" ht="11.25">
      <c r="A10" s="1028"/>
      <c r="B10" s="517"/>
      <c r="D10" s="1955" t="s">
        <v>291</v>
      </c>
      <c r="E10" s="1956"/>
      <c r="F10" s="1956"/>
      <c r="G10" s="1956"/>
      <c r="H10" s="1956"/>
      <c r="I10" s="1956"/>
      <c r="J10" s="1957"/>
      <c r="K10" s="2036"/>
      <c r="L10" s="515"/>
    </row>
    <row s="2628" customFormat="1" customHeight="1" ht="22.5">
      <c r="A11" s="2233"/>
      <c r="B11" s="2233"/>
      <c r="C11" s="663"/>
      <c r="D11" s="709" t="s">
        <v>87</v>
      </c>
      <c r="E11" s="711" t="s">
        <v>708</v>
      </c>
      <c r="F11" s="711" t="s">
        <v>553</v>
      </c>
      <c r="G11" s="471" t="s">
        <v>294</v>
      </c>
      <c r="H11" s="471" t="s">
        <v>383</v>
      </c>
      <c r="I11" s="813" t="s">
        <v>294</v>
      </c>
      <c r="J11" s="814" t="s">
        <v>383</v>
      </c>
      <c r="K11" s="2090"/>
      <c r="L11" s="664"/>
    </row>
    <row s="2612" customFormat="1" customHeight="1" ht="10.5">
      <c r="A12" s="959"/>
      <c r="D12" s="1032" t="s">
        <v>108</v>
      </c>
      <c r="E12" s="1032" t="s">
        <v>109</v>
      </c>
      <c r="F12" s="1032" t="s">
        <v>89</v>
      </c>
      <c r="G12" s="1033" t="str">
        <f>G1&amp;".1"</f>
        <v>4.1</v>
      </c>
      <c r="H12" s="1033" t="str">
        <f>G1&amp;".2"</f>
        <v>4.2</v>
      </c>
      <c r="I12" s="1033" t="str">
        <f>I1&amp;".1"</f>
        <v>4.1</v>
      </c>
      <c r="J12" s="1033" t="str">
        <f>I1&amp;".2"</f>
        <v>4.2</v>
      </c>
      <c r="K12" s="1033"/>
    </row>
    <row customHeight="1" ht="22.5">
      <c r="A13" s="2232" t="s">
        <v>709</v>
      </c>
      <c r="D13" s="960" t="s">
        <v>108</v>
      </c>
      <c r="E13" s="267" t="s">
        <v>710</v>
      </c>
      <c r="F13" s="666" t="s">
        <v>711</v>
      </c>
      <c r="G13" s="563"/>
      <c r="H13" s="667"/>
      <c r="I13" s="563"/>
      <c r="J13" s="667"/>
      <c r="K13" s="277" t="s">
        <v>712</v>
      </c>
      <c r="L13" s="726"/>
    </row>
    <row customHeight="1" ht="22.5">
      <c r="A14" s="2232"/>
      <c r="D14" s="545" t="s">
        <v>109</v>
      </c>
      <c r="E14" s="267" t="s">
        <v>713</v>
      </c>
      <c r="F14" s="666" t="s">
        <v>714</v>
      </c>
      <c r="G14" s="563"/>
      <c r="H14" s="668"/>
      <c r="I14" s="563"/>
      <c r="J14" s="668"/>
      <c r="K14" s="277" t="s">
        <v>715</v>
      </c>
      <c r="L14" s="726"/>
    </row>
    <row s="2624" customFormat="1" customHeight="1" ht="78.75">
      <c r="A15" s="2232"/>
      <c r="B15" s="517"/>
      <c r="D15" s="960" t="s">
        <v>89</v>
      </c>
      <c r="E15" s="713" t="s">
        <v>716</v>
      </c>
      <c r="F15" s="957" t="s">
        <v>297</v>
      </c>
      <c r="G15" s="957" t="s">
        <v>297</v>
      </c>
      <c r="H15" s="92"/>
      <c r="I15" s="957" t="s">
        <v>297</v>
      </c>
      <c r="J15" s="92"/>
      <c r="K15" s="277" t="s">
        <v>717</v>
      </c>
      <c r="L15" s="726"/>
    </row>
    <row s="2624" customFormat="1" customHeight="1" ht="22.5">
      <c r="A16" s="2232"/>
      <c r="B16" s="517"/>
      <c r="D16" s="960" t="s">
        <v>317</v>
      </c>
      <c r="E16" s="961" t="s">
        <v>718</v>
      </c>
      <c r="F16" s="957" t="s">
        <v>719</v>
      </c>
      <c r="G16" s="823"/>
      <c r="H16" s="92"/>
      <c r="I16" s="823"/>
      <c r="J16" s="92"/>
      <c r="K16" s="277"/>
      <c r="L16" s="726"/>
    </row>
    <row s="2624" customFormat="1" customHeight="1" ht="22.5">
      <c r="A17" s="2232"/>
      <c r="B17" s="517"/>
      <c r="D17" s="960" t="s">
        <v>325</v>
      </c>
      <c r="E17" s="961" t="s">
        <v>720</v>
      </c>
      <c r="F17" s="957" t="s">
        <v>721</v>
      </c>
      <c r="G17" s="823"/>
      <c r="H17" s="92"/>
      <c r="I17" s="823"/>
      <c r="J17" s="92"/>
      <c r="K17" s="277"/>
      <c r="L17" s="726"/>
    </row>
    <row s="2624" customFormat="1" customHeight="1" ht="33.75">
      <c r="A18" s="2232"/>
      <c r="B18" s="517"/>
      <c r="D18" s="960" t="s">
        <v>327</v>
      </c>
      <c r="E18" s="961" t="s">
        <v>722</v>
      </c>
      <c r="F18" s="957" t="s">
        <v>558</v>
      </c>
      <c r="G18" s="686"/>
      <c r="H18" s="92"/>
      <c r="I18" s="686"/>
      <c r="J18" s="92"/>
      <c r="K18" s="277"/>
      <c r="L18" s="726"/>
    </row>
    <row customHeight="1" ht="101.25">
      <c r="A19" s="2232"/>
      <c r="D19" s="960" t="s">
        <v>90</v>
      </c>
      <c r="E19" s="267" t="s">
        <v>723</v>
      </c>
      <c r="F19" s="666" t="s">
        <v>533</v>
      </c>
      <c r="G19" s="669"/>
      <c r="H19" s="668"/>
      <c r="I19" s="962"/>
      <c r="J19" s="668"/>
      <c r="K19" s="277" t="s">
        <v>724</v>
      </c>
      <c r="L19" s="726"/>
    </row>
    <row s="2624" customFormat="1" customHeight="1" ht="18.75">
      <c r="A20" s="2232"/>
      <c r="C20" s="963"/>
      <c r="D20" s="960" t="s">
        <v>654</v>
      </c>
      <c r="E20" s="961" t="s">
        <v>725</v>
      </c>
      <c r="F20" s="957" t="s">
        <v>297</v>
      </c>
      <c r="G20" s="957" t="s">
        <v>297</v>
      </c>
      <c r="H20" s="956" t="s">
        <v>297</v>
      </c>
      <c r="I20" s="957" t="s">
        <v>297</v>
      </c>
      <c r="J20" s="956" t="s">
        <v>297</v>
      </c>
      <c r="K20" s="955"/>
      <c r="L20" s="726"/>
      <c r="W20" s="681"/>
    </row>
    <row s="2624" customFormat="1" customHeight="1" ht="33.75">
      <c r="A21" s="2232"/>
      <c r="C21" s="963"/>
      <c r="D21" s="960" t="s">
        <v>657</v>
      </c>
      <c r="E21" s="582" t="s">
        <v>726</v>
      </c>
      <c r="F21" s="957" t="s">
        <v>727</v>
      </c>
      <c r="G21" s="949"/>
      <c r="H21" s="92"/>
      <c r="I21" s="949"/>
      <c r="J21" s="92"/>
      <c r="K21" s="955"/>
      <c r="L21" s="726"/>
      <c r="W21" s="681"/>
    </row>
    <row s="2624" customFormat="1" customHeight="1" ht="33.75">
      <c r="A22" s="2232"/>
      <c r="C22" s="963"/>
      <c r="D22" s="960" t="s">
        <v>660</v>
      </c>
      <c r="E22" s="582" t="s">
        <v>728</v>
      </c>
      <c r="F22" s="957" t="s">
        <v>729</v>
      </c>
      <c r="G22" s="949"/>
      <c r="H22" s="92"/>
      <c r="I22" s="949"/>
      <c r="J22" s="92"/>
      <c r="K22" s="955"/>
      <c r="L22" s="726"/>
      <c r="W22" s="681"/>
    </row>
    <row s="2624" customFormat="1" customHeight="1" ht="22.5">
      <c r="A23" s="2232"/>
      <c r="C23" s="963"/>
      <c r="D23" s="960" t="s">
        <v>697</v>
      </c>
      <c r="E23" s="961" t="s">
        <v>730</v>
      </c>
      <c r="F23" s="957" t="s">
        <v>297</v>
      </c>
      <c r="G23" s="957" t="s">
        <v>297</v>
      </c>
      <c r="H23" s="956" t="s">
        <v>297</v>
      </c>
      <c r="I23" s="957" t="s">
        <v>297</v>
      </c>
      <c r="J23" s="956" t="s">
        <v>297</v>
      </c>
      <c r="K23" s="955"/>
      <c r="L23" s="726"/>
      <c r="W23" s="681"/>
    </row>
    <row s="2624" customFormat="1" customHeight="1" ht="22.5">
      <c r="A24" s="2232"/>
      <c r="C24" s="963"/>
      <c r="D24" s="960" t="s">
        <v>731</v>
      </c>
      <c r="E24" s="582" t="s">
        <v>732</v>
      </c>
      <c r="F24" s="957" t="s">
        <v>733</v>
      </c>
      <c r="G24" s="949"/>
      <c r="H24" s="692"/>
      <c r="I24" s="949"/>
      <c r="J24" s="692"/>
      <c r="K24" s="955"/>
      <c r="L24" s="726"/>
      <c r="W24" s="681"/>
    </row>
    <row s="2624" customFormat="1" customHeight="1" ht="22.5">
      <c r="A25" s="2232"/>
      <c r="C25" s="963"/>
      <c r="D25" s="960" t="s">
        <v>734</v>
      </c>
      <c r="E25" s="582" t="s">
        <v>735</v>
      </c>
      <c r="F25" s="957" t="s">
        <v>297</v>
      </c>
      <c r="G25" s="957" t="s">
        <v>297</v>
      </c>
      <c r="H25" s="956" t="s">
        <v>297</v>
      </c>
      <c r="I25" s="957" t="s">
        <v>297</v>
      </c>
      <c r="J25" s="956" t="s">
        <v>297</v>
      </c>
      <c r="K25" s="955"/>
      <c r="L25" s="726"/>
      <c r="W25" s="681"/>
    </row>
    <row s="2624" customFormat="1" customHeight="1" ht="18.75">
      <c r="A26" s="2232"/>
      <c r="C26" s="963"/>
      <c r="D26" s="960" t="s">
        <v>736</v>
      </c>
      <c r="E26" s="559" t="s">
        <v>737</v>
      </c>
      <c r="F26" s="957" t="s">
        <v>738</v>
      </c>
      <c r="G26" s="686"/>
      <c r="H26" s="692"/>
      <c r="I26" s="686"/>
      <c r="J26" s="692"/>
      <c r="K26" s="955"/>
      <c r="L26" s="726"/>
      <c r="W26" s="681"/>
    </row>
    <row s="2624" customFormat="1" customHeight="1" ht="18.75">
      <c r="A27" s="2232"/>
      <c r="C27" s="963"/>
      <c r="D27" s="960" t="s">
        <v>739</v>
      </c>
      <c r="E27" s="559" t="s">
        <v>740</v>
      </c>
      <c r="F27" s="957" t="s">
        <v>741</v>
      </c>
      <c r="G27" s="686"/>
      <c r="H27" s="692"/>
      <c r="I27" s="686"/>
      <c r="J27" s="692"/>
      <c r="K27" s="955"/>
      <c r="L27" s="726"/>
      <c r="W27" s="681"/>
    </row>
    <row s="2624" customFormat="1" customHeight="1" ht="18.75">
      <c r="A28" s="2232"/>
      <c r="C28" s="963"/>
      <c r="D28" s="960" t="s">
        <v>742</v>
      </c>
      <c r="E28" s="582" t="s">
        <v>743</v>
      </c>
      <c r="F28" s="957" t="s">
        <v>297</v>
      </c>
      <c r="G28" s="957" t="s">
        <v>297</v>
      </c>
      <c r="H28" s="956" t="s">
        <v>297</v>
      </c>
      <c r="I28" s="957" t="s">
        <v>297</v>
      </c>
      <c r="J28" s="956" t="s">
        <v>297</v>
      </c>
      <c r="K28" s="955"/>
      <c r="L28" s="726"/>
      <c r="W28" s="681"/>
    </row>
    <row s="2624" customFormat="1" customHeight="1" ht="18.75">
      <c r="A29" s="2232"/>
      <c r="C29" s="963"/>
      <c r="D29" s="960" t="s">
        <v>744</v>
      </c>
      <c r="E29" s="559" t="s">
        <v>737</v>
      </c>
      <c r="F29" s="957" t="s">
        <v>745</v>
      </c>
      <c r="G29" s="686"/>
      <c r="H29" s="692"/>
      <c r="I29" s="686"/>
      <c r="J29" s="692"/>
      <c r="K29" s="955"/>
      <c r="L29" s="726"/>
      <c r="W29" s="681"/>
    </row>
    <row s="2624" customFormat="1" customHeight="1" ht="18.75">
      <c r="A30" s="2232"/>
      <c r="C30" s="963"/>
      <c r="D30" s="960" t="s">
        <v>746</v>
      </c>
      <c r="E30" s="559" t="s">
        <v>747</v>
      </c>
      <c r="F30" s="957" t="s">
        <v>748</v>
      </c>
      <c r="G30" s="686"/>
      <c r="H30" s="692"/>
      <c r="I30" s="686"/>
      <c r="J30" s="692"/>
      <c r="K30" s="955"/>
      <c r="L30" s="726"/>
      <c r="W30" s="681"/>
    </row>
    <row customHeight="1" ht="126.75">
      <c r="A31" s="2232"/>
      <c r="D31" s="960" t="s">
        <v>110</v>
      </c>
      <c r="E31" s="267" t="s">
        <v>749</v>
      </c>
      <c r="F31" s="666" t="s">
        <v>545</v>
      </c>
      <c r="G31" s="563"/>
      <c r="H31" s="668"/>
      <c r="I31" s="563"/>
      <c r="J31" s="668"/>
      <c r="K31" s="277" t="s">
        <v>750</v>
      </c>
      <c r="L31" s="726"/>
    </row>
    <row customHeight="1" ht="56.25">
      <c r="A32" s="2232"/>
      <c r="D32" s="960" t="s">
        <v>91</v>
      </c>
      <c r="E32" s="267" t="s">
        <v>751</v>
      </c>
      <c r="F32" s="545" t="s">
        <v>721</v>
      </c>
      <c r="G32" s="563"/>
      <c r="H32" s="668"/>
      <c r="I32" s="563"/>
      <c r="J32" s="668"/>
      <c r="K32" s="277" t="s">
        <v>752</v>
      </c>
      <c r="L32" s="726"/>
    </row>
    <row customHeight="1" ht="11.25">
      <c r="A33" s="2232"/>
      <c r="E33" s="670"/>
      <c r="F33" s="167"/>
      <c r="G33" s="167"/>
      <c r="H33" s="167"/>
      <c r="I33" s="167"/>
      <c r="J33" s="167"/>
      <c r="K33" s="167"/>
    </row>
    <row customHeight="1" ht="12.75">
      <c r="A34" s="2232"/>
      <c r="D34" s="49">
        <v>1</v>
      </c>
      <c r="E34" s="331" t="s">
        <v>753</v>
      </c>
    </row>
    <row customHeight="1" ht="11.25">
      <c r="A35" s="2232"/>
      <c r="D35" s="369"/>
      <c r="E35" s="331" t="s">
        <v>754</v>
      </c>
    </row>
    <row s="2628" customFormat="1" customHeight="1" ht="11.25">
      <c r="A36" s="1040"/>
      <c r="B36" s="524"/>
      <c r="D36" s="1041"/>
      <c r="E36" s="1042"/>
    </row>
    <row s="2624" customFormat="1" customHeight="1" ht="22.5" hidden="1">
      <c r="A37" s="2232" t="s">
        <v>755</v>
      </c>
      <c r="B37" s="517"/>
      <c r="D37" s="960">
        <v>1</v>
      </c>
      <c r="E37" s="713" t="s">
        <v>756</v>
      </c>
      <c r="F37" s="666" t="s">
        <v>711</v>
      </c>
      <c r="G37" s="563"/>
      <c r="H37" s="525"/>
      <c r="I37" s="563"/>
      <c r="J37" s="525"/>
      <c r="K37" s="277" t="s">
        <v>757</v>
      </c>
    </row>
    <row s="2624" customFormat="1" customHeight="1" ht="22.5" hidden="1">
      <c r="A38" s="2232"/>
      <c r="B38" s="517"/>
      <c r="D38" s="675" t="s">
        <v>109</v>
      </c>
      <c r="E38" s="1039" t="s">
        <v>758</v>
      </c>
      <c r="F38" s="1043" t="s">
        <v>533</v>
      </c>
      <c r="G38" s="1043" t="s">
        <v>533</v>
      </c>
      <c r="H38" s="1037"/>
      <c r="I38" s="1043" t="s">
        <v>533</v>
      </c>
      <c r="J38" s="1037"/>
      <c r="K38" s="1038"/>
    </row>
    <row s="2624" customFormat="1" customHeight="1" ht="33.75" hidden="1">
      <c r="A39" s="2232"/>
      <c r="B39" s="517"/>
      <c r="D39" s="671" t="s">
        <v>612</v>
      </c>
      <c r="E39" s="729" t="s">
        <v>759</v>
      </c>
      <c r="F39" s="666" t="s">
        <v>760</v>
      </c>
      <c r="G39" s="674"/>
      <c r="H39" s="1030"/>
      <c r="I39" s="674"/>
      <c r="J39" s="1030"/>
      <c r="K39" s="277" t="s">
        <v>761</v>
      </c>
    </row>
    <row s="2624" customFormat="1" customHeight="1" ht="33.75" hidden="1">
      <c r="A40" s="2232"/>
      <c r="B40" s="517"/>
      <c r="D40" s="671" t="s">
        <v>615</v>
      </c>
      <c r="E40" s="729" t="s">
        <v>762</v>
      </c>
      <c r="F40" s="1034" t="s">
        <v>763</v>
      </c>
      <c r="G40" s="747"/>
      <c r="H40" s="1030"/>
      <c r="I40" s="747"/>
      <c r="J40" s="1030"/>
      <c r="K40" s="277" t="s">
        <v>764</v>
      </c>
    </row>
    <row s="2624" customFormat="1" customHeight="1" ht="22.5" hidden="1">
      <c r="A41" s="2232"/>
      <c r="B41" s="517"/>
      <c r="D41" s="671" t="s">
        <v>89</v>
      </c>
      <c r="E41" s="728" t="s">
        <v>765</v>
      </c>
      <c r="F41" s="666" t="s">
        <v>533</v>
      </c>
      <c r="G41" s="666" t="s">
        <v>533</v>
      </c>
      <c r="H41" s="1031"/>
      <c r="I41" s="666" t="s">
        <v>533</v>
      </c>
      <c r="J41" s="1031"/>
      <c r="K41" s="290"/>
    </row>
    <row s="2624" customFormat="1" customHeight="1" ht="45" hidden="1">
      <c r="A42" s="2232"/>
      <c r="B42" s="517"/>
      <c r="D42" s="671" t="s">
        <v>317</v>
      </c>
      <c r="E42" s="729" t="s">
        <v>766</v>
      </c>
      <c r="F42" s="666" t="s">
        <v>545</v>
      </c>
      <c r="G42" s="563"/>
      <c r="H42" s="1031"/>
      <c r="I42" s="563"/>
      <c r="J42" s="1031"/>
      <c r="K42" s="290" t="s">
        <v>767</v>
      </c>
    </row>
    <row s="2624" customFormat="1" customHeight="1" ht="45" hidden="1">
      <c r="A43" s="2232"/>
      <c r="B43" s="517"/>
      <c r="D43" s="671" t="s">
        <v>325</v>
      </c>
      <c r="E43" s="673" t="s">
        <v>768</v>
      </c>
      <c r="F43" s="1035" t="s">
        <v>545</v>
      </c>
      <c r="G43" s="748"/>
      <c r="H43" s="1030"/>
      <c r="I43" s="748"/>
      <c r="J43" s="1030"/>
      <c r="K43" s="290" t="s">
        <v>769</v>
      </c>
    </row>
    <row s="2624" customFormat="1" customHeight="1" ht="11.25" hidden="1">
      <c r="A44" s="2232"/>
      <c r="B44" s="517"/>
      <c r="D44" s="671" t="s">
        <v>90</v>
      </c>
      <c r="E44" s="672" t="s">
        <v>770</v>
      </c>
      <c r="F44" s="666" t="s">
        <v>760</v>
      </c>
      <c r="G44" s="674"/>
      <c r="H44" s="1030"/>
      <c r="I44" s="674"/>
      <c r="J44" s="1030"/>
      <c r="K44" s="277"/>
    </row>
    <row s="2624" customFormat="1" customHeight="1" ht="11.25" hidden="1">
      <c r="A45" s="2232"/>
      <c r="B45" s="517"/>
      <c r="D45" s="671" t="s">
        <v>654</v>
      </c>
      <c r="E45" s="673" t="s">
        <v>771</v>
      </c>
      <c r="F45" s="666" t="s">
        <v>760</v>
      </c>
      <c r="G45" s="674"/>
      <c r="H45" s="1030"/>
      <c r="I45" s="674"/>
      <c r="J45" s="1030"/>
      <c r="K45" s="277"/>
    </row>
    <row s="2624" customFormat="1" customHeight="1" ht="11.25" hidden="1">
      <c r="A46" s="2232"/>
      <c r="B46" s="517"/>
      <c r="D46" s="671" t="s">
        <v>697</v>
      </c>
      <c r="E46" s="673" t="s">
        <v>772</v>
      </c>
      <c r="F46" s="666" t="s">
        <v>760</v>
      </c>
      <c r="G46" s="674"/>
      <c r="H46" s="1030"/>
      <c r="I46" s="674"/>
      <c r="J46" s="1030"/>
      <c r="K46" s="277"/>
    </row>
    <row s="2624" customFormat="1" customHeight="1" ht="11.25" hidden="1">
      <c r="A47" s="2232"/>
      <c r="B47" s="517"/>
      <c r="D47" s="671" t="s">
        <v>700</v>
      </c>
      <c r="E47" s="673" t="s">
        <v>773</v>
      </c>
      <c r="F47" s="666" t="s">
        <v>760</v>
      </c>
      <c r="G47" s="674"/>
      <c r="H47" s="1030"/>
      <c r="I47" s="674"/>
      <c r="J47" s="1030"/>
      <c r="K47" s="277"/>
    </row>
    <row s="2624" customFormat="1" customHeight="1" ht="11.25" hidden="1">
      <c r="A48" s="2232"/>
      <c r="B48" s="517"/>
      <c r="D48" s="671" t="s">
        <v>774</v>
      </c>
      <c r="E48" s="677" t="s">
        <v>775</v>
      </c>
      <c r="F48" s="666" t="s">
        <v>760</v>
      </c>
      <c r="G48" s="674"/>
      <c r="H48" s="1030"/>
      <c r="I48" s="674"/>
      <c r="J48" s="1030"/>
      <c r="K48" s="277"/>
    </row>
    <row s="2624" customFormat="1" customHeight="1" ht="11.25" hidden="1">
      <c r="A49" s="2232"/>
      <c r="B49" s="517"/>
      <c r="D49" s="671" t="s">
        <v>776</v>
      </c>
      <c r="E49" s="677" t="s">
        <v>777</v>
      </c>
      <c r="F49" s="666" t="s">
        <v>760</v>
      </c>
      <c r="G49" s="674"/>
      <c r="H49" s="1030"/>
      <c r="I49" s="674"/>
      <c r="J49" s="1030"/>
      <c r="K49" s="277"/>
    </row>
    <row s="2624" customFormat="1" customHeight="1" ht="11.25" hidden="1">
      <c r="A50" s="2232"/>
      <c r="B50" s="517"/>
      <c r="D50" s="671" t="s">
        <v>778</v>
      </c>
      <c r="E50" s="673" t="s">
        <v>779</v>
      </c>
      <c r="F50" s="666" t="s">
        <v>760</v>
      </c>
      <c r="G50" s="674"/>
      <c r="H50" s="1030"/>
      <c r="I50" s="674"/>
      <c r="J50" s="1030"/>
      <c r="K50" s="277"/>
    </row>
    <row s="2624" customFormat="1" customHeight="1" ht="11.25" hidden="1">
      <c r="A51" s="2232"/>
      <c r="B51" s="517"/>
      <c r="D51" s="671" t="s">
        <v>780</v>
      </c>
      <c r="E51" s="673" t="s">
        <v>781</v>
      </c>
      <c r="F51" s="666" t="s">
        <v>760</v>
      </c>
      <c r="G51" s="674"/>
      <c r="H51" s="1030"/>
      <c r="I51" s="674"/>
      <c r="J51" s="1030"/>
      <c r="K51" s="277"/>
    </row>
    <row s="2624" customFormat="1" customHeight="1" ht="45" hidden="1">
      <c r="A52" s="2232"/>
      <c r="B52" s="517"/>
      <c r="D52" s="671" t="s">
        <v>110</v>
      </c>
      <c r="E52" s="672" t="s">
        <v>782</v>
      </c>
      <c r="F52" s="666" t="s">
        <v>760</v>
      </c>
      <c r="G52" s="674"/>
      <c r="H52" s="1030"/>
      <c r="I52" s="674"/>
      <c r="J52" s="1030"/>
      <c r="K52" s="277"/>
    </row>
    <row s="2624" customFormat="1" customHeight="1" ht="11.25" hidden="1">
      <c r="A53" s="2232"/>
      <c r="B53" s="517"/>
      <c r="D53" s="671" t="s">
        <v>306</v>
      </c>
      <c r="E53" s="673" t="s">
        <v>771</v>
      </c>
      <c r="F53" s="666" t="s">
        <v>760</v>
      </c>
      <c r="G53" s="674"/>
      <c r="H53" s="1030"/>
      <c r="I53" s="674"/>
      <c r="J53" s="1030"/>
      <c r="K53" s="277"/>
    </row>
    <row s="2624" customFormat="1" customHeight="1" ht="11.25" hidden="1">
      <c r="A54" s="2232"/>
      <c r="B54" s="517"/>
      <c r="D54" s="671" t="s">
        <v>308</v>
      </c>
      <c r="E54" s="673" t="s">
        <v>772</v>
      </c>
      <c r="F54" s="666" t="s">
        <v>760</v>
      </c>
      <c r="G54" s="674"/>
      <c r="H54" s="1030"/>
      <c r="I54" s="674"/>
      <c r="J54" s="1030"/>
      <c r="K54" s="277"/>
    </row>
    <row s="2624" customFormat="1" customHeight="1" ht="11.25" hidden="1">
      <c r="A55" s="2232"/>
      <c r="B55" s="517"/>
      <c r="D55" s="671" t="s">
        <v>311</v>
      </c>
      <c r="E55" s="673" t="s">
        <v>773</v>
      </c>
      <c r="F55" s="666" t="s">
        <v>760</v>
      </c>
      <c r="G55" s="674"/>
      <c r="H55" s="1030"/>
      <c r="I55" s="674"/>
      <c r="J55" s="1030"/>
      <c r="K55" s="277"/>
    </row>
    <row s="2624" customFormat="1" customHeight="1" ht="11.25" hidden="1">
      <c r="A56" s="2232"/>
      <c r="B56" s="517"/>
      <c r="D56" s="671" t="s">
        <v>783</v>
      </c>
      <c r="E56" s="677" t="s">
        <v>775</v>
      </c>
      <c r="F56" s="666" t="s">
        <v>760</v>
      </c>
      <c r="G56" s="674"/>
      <c r="H56" s="1030"/>
      <c r="I56" s="674"/>
      <c r="J56" s="1030"/>
      <c r="K56" s="277"/>
    </row>
    <row s="2624" customFormat="1" customHeight="1" ht="11.25" hidden="1">
      <c r="A57" s="2232"/>
      <c r="B57" s="517"/>
      <c r="D57" s="671" t="s">
        <v>784</v>
      </c>
      <c r="E57" s="677" t="s">
        <v>777</v>
      </c>
      <c r="F57" s="666" t="s">
        <v>760</v>
      </c>
      <c r="G57" s="674"/>
      <c r="H57" s="1030"/>
      <c r="I57" s="674"/>
      <c r="J57" s="1030"/>
      <c r="K57" s="277"/>
    </row>
    <row s="2624" customFormat="1" customHeight="1" ht="11.25" hidden="1">
      <c r="A58" s="2232"/>
      <c r="B58" s="517"/>
      <c r="D58" s="671" t="s">
        <v>313</v>
      </c>
      <c r="E58" s="673" t="s">
        <v>779</v>
      </c>
      <c r="F58" s="666" t="s">
        <v>760</v>
      </c>
      <c r="G58" s="674"/>
      <c r="H58" s="1030"/>
      <c r="I58" s="674"/>
      <c r="J58" s="1030"/>
      <c r="K58" s="277"/>
    </row>
    <row s="2624" customFormat="1" customHeight="1" ht="11.25" hidden="1">
      <c r="A59" s="2232"/>
      <c r="B59" s="517"/>
      <c r="D59" s="671" t="s">
        <v>785</v>
      </c>
      <c r="E59" s="673" t="s">
        <v>781</v>
      </c>
      <c r="F59" s="666" t="s">
        <v>760</v>
      </c>
      <c r="G59" s="674"/>
      <c r="H59" s="1030"/>
      <c r="I59" s="674"/>
      <c r="J59" s="1030"/>
      <c r="K59" s="277"/>
    </row>
    <row s="2624" customFormat="1" customHeight="1" ht="33.75" hidden="1">
      <c r="A60" s="2232"/>
      <c r="B60" s="517"/>
      <c r="D60" s="671" t="s">
        <v>91</v>
      </c>
      <c r="E60" s="672" t="s">
        <v>786</v>
      </c>
      <c r="F60" s="727" t="s">
        <v>545</v>
      </c>
      <c r="G60" s="748"/>
      <c r="H60" s="1030"/>
      <c r="I60" s="748"/>
      <c r="J60" s="1030"/>
      <c r="K60" s="290" t="s">
        <v>787</v>
      </c>
    </row>
    <row s="2624" customFormat="1" customHeight="1" ht="33.75" hidden="1">
      <c r="A61" s="2232"/>
      <c r="B61" s="517"/>
      <c r="D61" s="671" t="s">
        <v>92</v>
      </c>
      <c r="E61" s="672" t="s">
        <v>788</v>
      </c>
      <c r="F61" s="732" t="s">
        <v>721</v>
      </c>
      <c r="G61" s="674"/>
      <c r="H61" s="1030"/>
      <c r="I61" s="674"/>
      <c r="J61" s="1030"/>
      <c r="K61" s="277"/>
    </row>
    <row s="2624" customFormat="1" customHeight="1" ht="22.5" hidden="1">
      <c r="A62" s="2232"/>
      <c r="B62" s="517" t="s">
        <v>575</v>
      </c>
      <c r="D62" s="671" t="s">
        <v>111</v>
      </c>
      <c r="E62" s="672" t="s">
        <v>789</v>
      </c>
      <c r="F62" s="732" t="s">
        <v>297</v>
      </c>
      <c r="G62" s="388"/>
      <c r="H62" s="1030"/>
      <c r="I62" s="388"/>
      <c r="J62" s="1030"/>
      <c r="K62" s="277" t="s">
        <v>790</v>
      </c>
    </row>
    <row s="2624" customFormat="1" customHeight="1" ht="45" hidden="1">
      <c r="A63" s="2232"/>
      <c r="B63" s="517" t="s">
        <v>575</v>
      </c>
      <c r="D63" s="671" t="s">
        <v>791</v>
      </c>
      <c r="E63" s="673" t="s">
        <v>792</v>
      </c>
      <c r="F63" s="727" t="s">
        <v>297</v>
      </c>
      <c r="G63" s="388"/>
      <c r="H63" s="1030"/>
      <c r="I63" s="388"/>
      <c r="J63" s="1030"/>
      <c r="K63" s="277" t="s">
        <v>790</v>
      </c>
    </row>
    <row s="2628" customFormat="1" customHeight="1" ht="11.25">
      <c r="A64" s="1040"/>
      <c r="B64" s="524"/>
      <c r="D64" s="1041"/>
      <c r="E64" s="1042"/>
    </row>
    <row s="2624" customFormat="1" customHeight="1" ht="22.5" hidden="1">
      <c r="A65" s="2232" t="s">
        <v>793</v>
      </c>
      <c r="B65" s="517"/>
      <c r="D65" s="671">
        <v>1</v>
      </c>
      <c r="E65" s="750" t="s">
        <v>794</v>
      </c>
      <c r="F65" s="746" t="s">
        <v>711</v>
      </c>
      <c r="G65" s="747"/>
      <c r="H65" s="1036"/>
      <c r="I65" s="747"/>
      <c r="J65" s="1036"/>
      <c r="K65" s="289" t="s">
        <v>795</v>
      </c>
    </row>
    <row s="2624" customFormat="1" customHeight="1" ht="56.25" hidden="1">
      <c r="A66" s="2232"/>
      <c r="B66" s="517"/>
      <c r="D66" s="749" t="s">
        <v>109</v>
      </c>
      <c r="E66" s="713" t="s">
        <v>796</v>
      </c>
      <c r="F66" s="666" t="s">
        <v>533</v>
      </c>
      <c r="G66" s="666" t="s">
        <v>533</v>
      </c>
      <c r="H66" s="525"/>
      <c r="I66" s="666" t="s">
        <v>533</v>
      </c>
      <c r="J66" s="525"/>
      <c r="K66" s="277"/>
    </row>
    <row s="2624" customFormat="1" customHeight="1" ht="33.75" hidden="1">
      <c r="A67" s="2232"/>
      <c r="B67" s="517"/>
      <c r="D67" s="749" t="s">
        <v>609</v>
      </c>
      <c r="E67" s="961" t="s">
        <v>797</v>
      </c>
      <c r="F67" s="666" t="s">
        <v>763</v>
      </c>
      <c r="G67" s="733"/>
      <c r="H67" s="525"/>
      <c r="I67" s="733"/>
      <c r="J67" s="525"/>
      <c r="K67" s="277"/>
    </row>
    <row s="2624" customFormat="1" customHeight="1" ht="22.5" hidden="1">
      <c r="A68" s="2232"/>
      <c r="B68" s="517"/>
      <c r="D68" s="749" t="s">
        <v>298</v>
      </c>
      <c r="E68" s="961" t="s">
        <v>798</v>
      </c>
      <c r="F68" s="666" t="s">
        <v>763</v>
      </c>
      <c r="G68" s="733"/>
      <c r="H68" s="525"/>
      <c r="I68" s="733"/>
      <c r="J68" s="525"/>
      <c r="K68" s="277"/>
    </row>
    <row s="2624" customFormat="1" customHeight="1" ht="22.5" hidden="1">
      <c r="A69" s="2232"/>
      <c r="B69" s="517"/>
      <c r="D69" s="749" t="s">
        <v>301</v>
      </c>
      <c r="E69" s="961" t="s">
        <v>799</v>
      </c>
      <c r="F69" s="727" t="s">
        <v>545</v>
      </c>
      <c r="G69" s="748"/>
      <c r="H69" s="525"/>
      <c r="I69" s="748"/>
      <c r="J69" s="525"/>
      <c r="K69" s="277"/>
    </row>
    <row s="2624" customFormat="1" customHeight="1" ht="22.5" hidden="1">
      <c r="A70" s="2232"/>
      <c r="B70" s="517"/>
      <c r="D70" s="749" t="s">
        <v>629</v>
      </c>
      <c r="E70" s="961" t="s">
        <v>800</v>
      </c>
      <c r="F70" s="727" t="s">
        <v>545</v>
      </c>
      <c r="G70" s="748"/>
      <c r="H70" s="525"/>
      <c r="I70" s="748"/>
      <c r="J70" s="525"/>
      <c r="K70" s="277"/>
    </row>
    <row s="2624" customFormat="1" customHeight="1" ht="22.5" hidden="1">
      <c r="A71" s="2232"/>
      <c r="B71" s="517"/>
      <c r="D71" s="671" t="s">
        <v>89</v>
      </c>
      <c r="E71" s="672" t="s">
        <v>801</v>
      </c>
      <c r="F71" s="666" t="s">
        <v>763</v>
      </c>
      <c r="G71" s="563"/>
      <c r="H71" s="1037"/>
      <c r="I71" s="563"/>
      <c r="J71" s="1037"/>
      <c r="K71" s="290"/>
    </row>
    <row s="2624" customFormat="1" customHeight="1" ht="56.25" hidden="1">
      <c r="A72" s="2232"/>
      <c r="B72" s="517"/>
      <c r="D72" s="671" t="s">
        <v>90</v>
      </c>
      <c r="E72" s="672" t="s">
        <v>802</v>
      </c>
      <c r="F72" s="727" t="s">
        <v>545</v>
      </c>
      <c r="G72" s="748"/>
      <c r="H72" s="1030"/>
      <c r="I72" s="748"/>
      <c r="J72" s="1030"/>
      <c r="K72" s="290"/>
    </row>
    <row s="2624" customFormat="1" customHeight="1" ht="33.75" hidden="1">
      <c r="A73" s="2232"/>
      <c r="B73" s="517"/>
      <c r="D73" s="671" t="s">
        <v>110</v>
      </c>
      <c r="E73" s="672" t="s">
        <v>803</v>
      </c>
      <c r="F73" s="732" t="s">
        <v>721</v>
      </c>
      <c r="G73" s="674"/>
      <c r="H73" s="1030"/>
      <c r="I73" s="674"/>
      <c r="J73" s="1030"/>
      <c r="K73" s="277"/>
    </row>
    <row s="2624" customFormat="1" customHeight="1" ht="22.5" hidden="1">
      <c r="A74" s="2232"/>
      <c r="B74" s="517" t="s">
        <v>575</v>
      </c>
      <c r="D74" s="671" t="s">
        <v>91</v>
      </c>
      <c r="E74" s="672" t="s">
        <v>804</v>
      </c>
      <c r="F74" s="732" t="s">
        <v>297</v>
      </c>
      <c r="G74" s="388"/>
      <c r="H74" s="1030"/>
      <c r="I74" s="388"/>
      <c r="J74" s="1030"/>
      <c r="K74" s="277" t="s">
        <v>790</v>
      </c>
    </row>
    <row s="2624" customFormat="1" customHeight="1" ht="45" hidden="1">
      <c r="A75" s="2232"/>
      <c r="B75" s="517" t="s">
        <v>575</v>
      </c>
      <c r="D75" s="671" t="s">
        <v>805</v>
      </c>
      <c r="E75" s="673" t="s">
        <v>806</v>
      </c>
      <c r="F75" s="727" t="s">
        <v>297</v>
      </c>
      <c r="G75" s="388"/>
      <c r="H75" s="1030"/>
      <c r="I75" s="388"/>
      <c r="J75" s="1030"/>
      <c r="K75" s="277" t="s">
        <v>790</v>
      </c>
    </row>
    <row s="2628" customFormat="1" customHeight="1" ht="11.25">
      <c r="A76" s="1040"/>
      <c r="B76" s="524"/>
      <c r="D76" s="1041"/>
      <c r="E76" s="1042"/>
    </row>
    <row s="2624" customFormat="1" customHeight="1" ht="11.25" hidden="1">
      <c r="A77" s="2232" t="s">
        <v>807</v>
      </c>
      <c r="B77" s="517"/>
      <c r="D77" s="671">
        <v>1</v>
      </c>
      <c r="E77" s="672" t="s">
        <v>808</v>
      </c>
      <c r="F77" s="727" t="s">
        <v>711</v>
      </c>
      <c r="G77" s="730"/>
      <c r="H77" s="1030"/>
      <c r="I77" s="730"/>
      <c r="J77" s="1030"/>
      <c r="K77" s="277" t="s">
        <v>809</v>
      </c>
    </row>
    <row s="2624" customFormat="1" customHeight="1" ht="11.25" hidden="1">
      <c r="A78" s="2232"/>
      <c r="B78" s="517"/>
      <c r="D78" s="671" t="s">
        <v>109</v>
      </c>
      <c r="E78" s="672" t="s">
        <v>810</v>
      </c>
      <c r="F78" s="727" t="s">
        <v>711</v>
      </c>
      <c r="G78" s="730"/>
      <c r="H78" s="1030"/>
      <c r="I78" s="730"/>
      <c r="J78" s="1030"/>
      <c r="K78" s="277" t="s">
        <v>811</v>
      </c>
    </row>
    <row s="2624" customFormat="1" customHeight="1" ht="22.5" hidden="1">
      <c r="A79" s="2232"/>
      <c r="B79" s="517"/>
      <c r="D79" s="671" t="s">
        <v>89</v>
      </c>
      <c r="E79" s="728" t="s">
        <v>812</v>
      </c>
      <c r="F79" s="666" t="s">
        <v>760</v>
      </c>
      <c r="G79" s="730"/>
      <c r="H79" s="1030"/>
      <c r="I79" s="730"/>
      <c r="J79" s="1030"/>
      <c r="K79" s="277" t="s">
        <v>813</v>
      </c>
    </row>
    <row s="2624" customFormat="1" customHeight="1" ht="11.25" hidden="1">
      <c r="A80" s="2232"/>
      <c r="B80" s="517"/>
      <c r="D80" s="671" t="s">
        <v>317</v>
      </c>
      <c r="E80" s="729" t="s">
        <v>814</v>
      </c>
      <c r="F80" s="666" t="s">
        <v>760</v>
      </c>
      <c r="G80" s="730"/>
      <c r="H80" s="1030"/>
      <c r="I80" s="730"/>
      <c r="J80" s="1030"/>
      <c r="K80" s="277"/>
    </row>
    <row s="2624" customFormat="1" customHeight="1" ht="11.25" hidden="1">
      <c r="A81" s="2232"/>
      <c r="B81" s="517"/>
      <c r="D81" s="671" t="s">
        <v>325</v>
      </c>
      <c r="E81" s="729" t="s">
        <v>815</v>
      </c>
      <c r="F81" s="666" t="s">
        <v>760</v>
      </c>
      <c r="G81" s="730"/>
      <c r="H81" s="1030"/>
      <c r="I81" s="730"/>
      <c r="J81" s="1030"/>
      <c r="K81" s="277"/>
    </row>
    <row s="2624" customFormat="1" customHeight="1" ht="11.25" hidden="1">
      <c r="A82" s="2232"/>
      <c r="B82" s="517"/>
      <c r="D82" s="671" t="s">
        <v>327</v>
      </c>
      <c r="E82" s="729" t="s">
        <v>816</v>
      </c>
      <c r="F82" s="666" t="s">
        <v>760</v>
      </c>
      <c r="G82" s="730"/>
      <c r="H82" s="1030"/>
      <c r="I82" s="730"/>
      <c r="J82" s="1030"/>
      <c r="K82" s="277"/>
    </row>
    <row s="2624" customFormat="1" customHeight="1" ht="11.25" hidden="1">
      <c r="A83" s="2232"/>
      <c r="B83" s="517"/>
      <c r="D83" s="671" t="s">
        <v>329</v>
      </c>
      <c r="E83" s="729" t="s">
        <v>817</v>
      </c>
      <c r="F83" s="666" t="s">
        <v>760</v>
      </c>
      <c r="G83" s="730"/>
      <c r="H83" s="1030"/>
      <c r="I83" s="730"/>
      <c r="J83" s="1030"/>
      <c r="K83" s="277"/>
    </row>
    <row s="2624" customFormat="1" customHeight="1" ht="11.25" hidden="1">
      <c r="A84" s="2232"/>
      <c r="B84" s="517"/>
      <c r="D84" s="671" t="s">
        <v>818</v>
      </c>
      <c r="E84" s="729" t="s">
        <v>819</v>
      </c>
      <c r="F84" s="666" t="s">
        <v>760</v>
      </c>
      <c r="G84" s="730"/>
      <c r="H84" s="1030"/>
      <c r="I84" s="730"/>
      <c r="J84" s="1030"/>
      <c r="K84" s="277"/>
    </row>
    <row s="2624" customFormat="1" customHeight="1" ht="11.25" hidden="1">
      <c r="A85" s="2232"/>
      <c r="B85" s="517"/>
      <c r="D85" s="671" t="s">
        <v>820</v>
      </c>
      <c r="E85" s="729" t="s">
        <v>821</v>
      </c>
      <c r="F85" s="666" t="s">
        <v>760</v>
      </c>
      <c r="G85" s="730"/>
      <c r="H85" s="1030"/>
      <c r="I85" s="730"/>
      <c r="J85" s="1030"/>
      <c r="K85" s="277"/>
    </row>
    <row s="2624" customFormat="1" customHeight="1" ht="11.25" hidden="1">
      <c r="A86" s="2232"/>
      <c r="B86" s="517"/>
      <c r="D86" s="671" t="s">
        <v>822</v>
      </c>
      <c r="E86" s="729" t="s">
        <v>823</v>
      </c>
      <c r="F86" s="666" t="s">
        <v>760</v>
      </c>
      <c r="G86" s="730"/>
      <c r="H86" s="1030"/>
      <c r="I86" s="730"/>
      <c r="J86" s="1030"/>
      <c r="K86" s="277"/>
    </row>
    <row s="2624" customFormat="1" customHeight="1" ht="45" hidden="1">
      <c r="A87" s="2232"/>
      <c r="B87" s="517"/>
      <c r="D87" s="671" t="s">
        <v>90</v>
      </c>
      <c r="E87" s="672" t="s">
        <v>824</v>
      </c>
      <c r="F87" s="666" t="s">
        <v>760</v>
      </c>
      <c r="G87" s="730"/>
      <c r="H87" s="1030"/>
      <c r="I87" s="730"/>
      <c r="J87" s="1030"/>
      <c r="K87" s="277" t="s">
        <v>825</v>
      </c>
    </row>
    <row s="2624" customFormat="1" customHeight="1" ht="11.25" hidden="1">
      <c r="A88" s="2232"/>
      <c r="B88" s="517"/>
      <c r="D88" s="671" t="s">
        <v>654</v>
      </c>
      <c r="E88" s="729" t="s">
        <v>814</v>
      </c>
      <c r="F88" s="666" t="s">
        <v>760</v>
      </c>
      <c r="G88" s="730"/>
      <c r="H88" s="1030"/>
      <c r="I88" s="730"/>
      <c r="J88" s="1030"/>
      <c r="K88" s="277"/>
    </row>
    <row s="2624" customFormat="1" customHeight="1" ht="11.25" hidden="1">
      <c r="A89" s="2232"/>
      <c r="B89" s="517"/>
      <c r="D89" s="671" t="s">
        <v>697</v>
      </c>
      <c r="E89" s="729" t="s">
        <v>815</v>
      </c>
      <c r="F89" s="666" t="s">
        <v>760</v>
      </c>
      <c r="G89" s="730"/>
      <c r="H89" s="1030"/>
      <c r="I89" s="730"/>
      <c r="J89" s="1030"/>
      <c r="K89" s="277"/>
    </row>
    <row s="2624" customFormat="1" customHeight="1" ht="11.25" hidden="1">
      <c r="A90" s="2232"/>
      <c r="B90" s="517"/>
      <c r="D90" s="671" t="s">
        <v>700</v>
      </c>
      <c r="E90" s="729" t="s">
        <v>816</v>
      </c>
      <c r="F90" s="666" t="s">
        <v>760</v>
      </c>
      <c r="G90" s="730"/>
      <c r="H90" s="1030"/>
      <c r="I90" s="730"/>
      <c r="J90" s="1030"/>
      <c r="K90" s="277"/>
    </row>
    <row s="2624" customFormat="1" customHeight="1" ht="11.25" hidden="1">
      <c r="A91" s="2232"/>
      <c r="B91" s="517"/>
      <c r="D91" s="671" t="s">
        <v>778</v>
      </c>
      <c r="E91" s="729" t="s">
        <v>817</v>
      </c>
      <c r="F91" s="666" t="s">
        <v>760</v>
      </c>
      <c r="G91" s="730"/>
      <c r="H91" s="1030"/>
      <c r="I91" s="730"/>
      <c r="J91" s="1030"/>
      <c r="K91" s="277"/>
    </row>
    <row s="2624" customFormat="1" customHeight="1" ht="11.25" hidden="1">
      <c r="A92" s="2232"/>
      <c r="B92" s="517"/>
      <c r="D92" s="671" t="s">
        <v>780</v>
      </c>
      <c r="E92" s="729" t="s">
        <v>819</v>
      </c>
      <c r="F92" s="666" t="s">
        <v>760</v>
      </c>
      <c r="G92" s="730"/>
      <c r="H92" s="1030"/>
      <c r="I92" s="730"/>
      <c r="J92" s="1030"/>
      <c r="K92" s="277"/>
    </row>
    <row s="2624" customFormat="1" customHeight="1" ht="11.25" hidden="1">
      <c r="A93" s="2232"/>
      <c r="B93" s="517"/>
      <c r="D93" s="671" t="s">
        <v>826</v>
      </c>
      <c r="E93" s="729" t="s">
        <v>821</v>
      </c>
      <c r="F93" s="666" t="s">
        <v>760</v>
      </c>
      <c r="G93" s="730"/>
      <c r="H93" s="1030"/>
      <c r="I93" s="730"/>
      <c r="J93" s="1030"/>
      <c r="K93" s="277"/>
    </row>
    <row s="2624" customFormat="1" customHeight="1" ht="11.25" hidden="1">
      <c r="A94" s="2232"/>
      <c r="B94" s="517"/>
      <c r="D94" s="671" t="s">
        <v>827</v>
      </c>
      <c r="E94" s="729" t="s">
        <v>823</v>
      </c>
      <c r="F94" s="666" t="s">
        <v>760</v>
      </c>
      <c r="G94" s="730"/>
      <c r="H94" s="1030"/>
      <c r="I94" s="730"/>
      <c r="J94" s="1030"/>
      <c r="K94" s="277"/>
    </row>
    <row s="2624" customFormat="1" customHeight="1" ht="24.75" hidden="1">
      <c r="A95" s="2232"/>
      <c r="B95" s="517"/>
      <c r="D95" s="671" t="s">
        <v>110</v>
      </c>
      <c r="E95" s="672" t="s">
        <v>828</v>
      </c>
      <c r="F95" s="731" t="s">
        <v>545</v>
      </c>
      <c r="G95" s="733"/>
      <c r="H95" s="1030"/>
      <c r="I95" s="733"/>
      <c r="J95" s="1030"/>
      <c r="K95" s="277" t="s">
        <v>829</v>
      </c>
    </row>
    <row s="2624" customFormat="1" customHeight="1" ht="33.75" hidden="1">
      <c r="A96" s="2232"/>
      <c r="B96" s="517"/>
      <c r="D96" s="671" t="s">
        <v>91</v>
      </c>
      <c r="E96" s="672" t="s">
        <v>830</v>
      </c>
      <c r="F96" s="732" t="s">
        <v>721</v>
      </c>
      <c r="G96" s="734"/>
      <c r="H96" s="1030"/>
      <c r="I96" s="734"/>
      <c r="J96" s="1030"/>
      <c r="K96" s="277"/>
    </row>
    <row s="2624" customFormat="1" customHeight="1" ht="22.5" hidden="1">
      <c r="A97" s="2232"/>
      <c r="B97" s="517" t="s">
        <v>575</v>
      </c>
      <c r="D97" s="671" t="s">
        <v>92</v>
      </c>
      <c r="E97" s="672" t="s">
        <v>831</v>
      </c>
      <c r="F97" s="732" t="s">
        <v>297</v>
      </c>
      <c r="G97" s="391"/>
      <c r="H97" s="1030"/>
      <c r="I97" s="391"/>
      <c r="J97" s="1030"/>
      <c r="K97" s="277" t="s">
        <v>790</v>
      </c>
    </row>
    <row s="2624" customFormat="1" customHeight="1" ht="45" hidden="1">
      <c r="A98" s="2232"/>
      <c r="B98" s="517" t="s">
        <v>575</v>
      </c>
      <c r="D98" s="671" t="s">
        <v>832</v>
      </c>
      <c r="E98" s="673" t="s">
        <v>833</v>
      </c>
      <c r="F98" s="727" t="s">
        <v>297</v>
      </c>
      <c r="G98" s="391"/>
      <c r="H98" s="1030"/>
      <c r="I98" s="391"/>
      <c r="J98" s="1030"/>
      <c r="K98" s="277" t="s">
        <v>790</v>
      </c>
    </row>
    <row s="2624" customFormat="1" customHeight="1" ht="95.25" hidden="1">
      <c r="A99" s="2232"/>
      <c r="B99" s="517" t="s">
        <v>575</v>
      </c>
      <c r="D99" s="671" t="s">
        <v>111</v>
      </c>
      <c r="E99" s="672" t="s">
        <v>834</v>
      </c>
      <c r="F99" s="727" t="s">
        <v>297</v>
      </c>
      <c r="G99" s="391"/>
      <c r="H99" s="1030"/>
      <c r="I99" s="391"/>
      <c r="J99" s="1030"/>
      <c r="K99" s="277" t="s">
        <v>790</v>
      </c>
    </row>
    <row s="2624" customFormat="1" customHeight="1" ht="22.5" hidden="1">
      <c r="A100" s="2232"/>
      <c r="B100" s="517" t="s">
        <v>575</v>
      </c>
      <c r="D100" s="671" t="s">
        <v>147</v>
      </c>
      <c r="E100" s="672" t="s">
        <v>835</v>
      </c>
      <c r="F100" s="727" t="s">
        <v>297</v>
      </c>
      <c r="G100" s="391"/>
      <c r="H100" s="1030"/>
      <c r="I100" s="391"/>
      <c r="J100" s="1030"/>
      <c r="K100" s="277" t="s">
        <v>790</v>
      </c>
    </row>
    <row s="2628" customFormat="1" customHeight="1" ht="11.25">
      <c r="A101" s="1040"/>
      <c r="B101" s="524"/>
      <c r="D101" s="1041"/>
      <c r="E101" s="1042"/>
    </row>
  </sheetData>
  <sheetProtection formatColumns="0" formatRows="0" autoFilter="0" sort="0" insertRows="0" insertColumns="1" deleteRows="0" deleteColumns="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J13:J14 J31:J32">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3E3378-2F04-5AF2-117C-2818B6B0E1B8}" mc:Ignorable="x14ac xr xr2 xr3">
  <sheetPr>
    <tabColor rgb="FFE26B0A"/>
  </sheetPr>
  <dimension ref="A1:U39"/>
  <sheetViews>
    <sheetView topLeftCell="A1" showGridLines="0" zoomScale="90" workbookViewId="0">
      <selection activeCell="A1" sqref="A1"/>
    </sheetView>
  </sheetViews>
  <sheetFormatPr defaultColWidth="10.57421875" customHeight="1" defaultRowHeight="15"/>
  <cols>
    <col min="1" max="1" style="3152" width="9.140625" hidden="1" customWidth="1"/>
    <col min="2" max="2" style="3154" width="9.140625" hidden="1" customWidth="1"/>
    <col min="3" max="3" style="4342" width="4.7109375" customWidth="1"/>
    <col min="4" max="4" style="3154" width="6.28125" customWidth="1"/>
    <col min="5" max="5" style="3154" width="36.7109375" customWidth="1"/>
    <col min="6" max="6" style="3154" width="9.57421875" customWidth="1"/>
    <col min="7" max="7" style="2624" width="25.7109375" hidden="1" customWidth="1"/>
    <col min="8" max="8" style="2624" width="33.7109375" hidden="1" customWidth="1"/>
    <col min="9" max="9" style="3154" width="25.7109375" customWidth="1"/>
    <col min="10" max="10" style="3154" width="33.7109375" customWidth="1"/>
    <col min="11" max="11" style="2625" width="93.421875" customWidth="1"/>
    <col min="12" max="20" style="3154" width="10.57421875"/>
    <col min="21" max="21" style="4276" width="10.57421875"/>
  </cols>
  <sheetData>
    <row s="2625" customFormat="1" customHeight="1" ht="15" hidden="1">
      <c r="C1" s="678"/>
      <c r="G1" s="423">
        <v>4</v>
      </c>
      <c r="I1" s="423">
        <v>4</v>
      </c>
      <c r="U1" s="426"/>
    </row>
    <row s="2625" customFormat="1" customHeight="1" ht="15" hidden="1">
      <c r="C2" s="678"/>
      <c r="U2" s="426"/>
    </row>
    <row customHeight="1" ht="22.5" hidden="1">
      <c r="A3" s="511"/>
      <c r="B3" s="2234"/>
      <c r="C3" s="2235"/>
      <c r="D3" s="695" t="str">
        <f>B3&amp;".1"</f>
        <v>.1</v>
      </c>
      <c r="E3" s="696" t="s">
        <v>836</v>
      </c>
      <c r="F3" s="697" t="s">
        <v>297</v>
      </c>
      <c r="G3" s="692"/>
      <c r="H3" s="407"/>
      <c r="I3" s="692"/>
      <c r="J3" s="407"/>
      <c r="K3" s="277" t="s">
        <v>837</v>
      </c>
    </row>
    <row customHeight="1" ht="15" hidden="1">
      <c r="A4" s="511"/>
      <c r="B4" s="2234"/>
      <c r="C4" s="2235"/>
      <c r="D4" s="695" t="str">
        <f>B3&amp;".2"</f>
        <v>.2</v>
      </c>
      <c r="E4" s="696" t="s">
        <v>838</v>
      </c>
      <c r="F4" s="697" t="s">
        <v>297</v>
      </c>
      <c r="G4" s="1778" t="s">
        <v>24</v>
      </c>
      <c r="H4" s="407"/>
      <c r="I4" s="1778" t="s">
        <v>24</v>
      </c>
      <c r="J4" s="407"/>
      <c r="K4" s="277" t="s">
        <v>839</v>
      </c>
    </row>
    <row s="2625" customFormat="1" customHeight="1" ht="15" hidden="1">
      <c r="C5" s="678"/>
      <c r="U5" s="426"/>
    </row>
    <row customHeight="1" ht="22.5" hidden="1">
      <c r="A6" s="511"/>
      <c r="B6" s="2234"/>
      <c r="C6" s="2235"/>
      <c r="D6" s="695" t="str">
        <f>B6&amp;".1"</f>
        <v>.1</v>
      </c>
      <c r="E6" s="696" t="s">
        <v>840</v>
      </c>
      <c r="F6" s="697" t="s">
        <v>297</v>
      </c>
      <c r="G6" s="692"/>
      <c r="H6" s="407"/>
      <c r="I6" s="692"/>
      <c r="J6" s="407"/>
      <c r="K6" s="277" t="s">
        <v>841</v>
      </c>
    </row>
    <row customHeight="1" ht="15" hidden="1">
      <c r="A7" s="511"/>
      <c r="B7" s="2234"/>
      <c r="C7" s="2235"/>
      <c r="D7" s="695" t="str">
        <f>B6&amp;".2"</f>
        <v>.2</v>
      </c>
      <c r="E7" s="696" t="s">
        <v>838</v>
      </c>
      <c r="F7" s="697" t="s">
        <v>297</v>
      </c>
      <c r="G7" s="1778" t="s">
        <v>24</v>
      </c>
      <c r="H7" s="407"/>
      <c r="I7" s="1778" t="s">
        <v>24</v>
      </c>
      <c r="J7" s="407"/>
      <c r="K7" s="277" t="s">
        <v>839</v>
      </c>
    </row>
    <row s="2625" customFormat="1" customHeight="1" ht="15" hidden="1">
      <c r="C8" s="678"/>
      <c r="U8" s="426"/>
    </row>
    <row customHeight="1" ht="22.5" hidden="1">
      <c r="A9" s="511"/>
      <c r="B9" s="2234"/>
      <c r="C9" s="2235"/>
      <c r="D9" s="695" t="str">
        <f>B9&amp;".1"</f>
        <v>.1</v>
      </c>
      <c r="E9" s="696" t="s">
        <v>842</v>
      </c>
      <c r="F9" s="697" t="s">
        <v>297</v>
      </c>
      <c r="G9" s="703" t="s">
        <v>24</v>
      </c>
      <c r="H9" s="407" t="s">
        <v>24</v>
      </c>
      <c r="I9" s="703" t="s">
        <v>24</v>
      </c>
      <c r="J9" s="407" t="s">
        <v>24</v>
      </c>
      <c r="K9" s="277"/>
    </row>
    <row customHeight="1" ht="15" hidden="1">
      <c r="A10" s="511"/>
      <c r="B10" s="2234"/>
      <c r="C10" s="2235"/>
      <c r="D10" s="695" t="str">
        <f>B9&amp;".2"</f>
        <v>.2</v>
      </c>
      <c r="E10" s="696" t="s">
        <v>843</v>
      </c>
      <c r="F10" s="697" t="s">
        <v>297</v>
      </c>
      <c r="G10" s="1772" t="s">
        <v>24</v>
      </c>
      <c r="H10" s="407" t="s">
        <v>24</v>
      </c>
      <c r="I10" s="1772" t="s">
        <v>24</v>
      </c>
      <c r="J10" s="407" t="s">
        <v>24</v>
      </c>
      <c r="K10" s="277" t="s">
        <v>844</v>
      </c>
    </row>
    <row customHeight="1" ht="15" hidden="1">
      <c r="A11" s="511"/>
      <c r="B11" s="2234"/>
      <c r="C11" s="2235"/>
      <c r="D11" s="695" t="str">
        <f>B9&amp;".3"</f>
        <v>.3</v>
      </c>
      <c r="E11" s="696" t="s">
        <v>845</v>
      </c>
      <c r="F11" s="697" t="s">
        <v>297</v>
      </c>
      <c r="G11" s="1772" t="s">
        <v>24</v>
      </c>
      <c r="H11" s="407" t="s">
        <v>24</v>
      </c>
      <c r="I11" s="1772" t="s">
        <v>24</v>
      </c>
      <c r="J11" s="407" t="s">
        <v>24</v>
      </c>
      <c r="K11" s="277" t="s">
        <v>846</v>
      </c>
    </row>
    <row s="2625" customFormat="1" customHeight="1" ht="15" hidden="1">
      <c r="C12" s="678"/>
      <c r="U12" s="426"/>
    </row>
    <row customHeight="1" ht="33.75" hidden="1">
      <c r="A13" s="511"/>
      <c r="B13" s="2234"/>
      <c r="C13" s="2235"/>
      <c r="D13" s="695" t="str">
        <f>B13&amp;".1"</f>
        <v>.1</v>
      </c>
      <c r="E13" s="696" t="s">
        <v>847</v>
      </c>
      <c r="F13" s="697" t="s">
        <v>297</v>
      </c>
      <c r="G13" s="703" t="s">
        <v>24</v>
      </c>
      <c r="H13" s="407" t="s">
        <v>24</v>
      </c>
      <c r="I13" s="703" t="s">
        <v>24</v>
      </c>
      <c r="J13" s="407" t="s">
        <v>24</v>
      </c>
      <c r="K13" s="277" t="s">
        <v>848</v>
      </c>
    </row>
    <row customHeight="1" ht="15" hidden="1">
      <c r="B14" s="2234"/>
      <c r="C14" s="2235"/>
      <c r="D14" s="695" t="str">
        <f>B13&amp;".2"</f>
        <v>.2</v>
      </c>
      <c r="E14" s="696" t="s">
        <v>849</v>
      </c>
      <c r="F14" s="697" t="s">
        <v>297</v>
      </c>
      <c r="G14" s="1772" t="s">
        <v>24</v>
      </c>
      <c r="H14" s="407" t="s">
        <v>24</v>
      </c>
      <c r="I14" s="1772" t="s">
        <v>24</v>
      </c>
      <c r="J14" s="407" t="s">
        <v>24</v>
      </c>
      <c r="K14" s="277" t="s">
        <v>850</v>
      </c>
    </row>
    <row s="2625" customFormat="1" customHeight="1" ht="15" hidden="1">
      <c r="C15" s="678"/>
      <c r="U15" s="426"/>
    </row>
    <row s="2625" customFormat="1" customHeight="1" ht="15" hidden="1">
      <c r="C16" s="678"/>
      <c r="U16" s="426"/>
    </row>
    <row s="2625" customFormat="1" customHeight="1" ht="15" hidden="1">
      <c r="C17" s="678"/>
      <c r="U17" s="426"/>
    </row>
    <row s="2625" customFormat="1" customHeight="1" ht="15" hidden="1">
      <c r="C18" s="678"/>
      <c r="U18" s="426"/>
    </row>
    <row s="2625" customFormat="1" customHeight="1" ht="15" hidden="1">
      <c r="C19" s="678"/>
      <c r="U19" s="426"/>
    </row>
    <row s="2625" customFormat="1" customHeight="1" ht="15" hidden="1">
      <c r="C20" s="678"/>
      <c r="U20" s="426"/>
    </row>
    <row customHeight="1" ht="15">
      <c r="C21" s="162"/>
      <c r="D21" s="515"/>
      <c r="E21" s="515"/>
      <c r="F21" s="515"/>
      <c r="G21" s="515"/>
      <c r="H21" s="515"/>
      <c r="I21" s="515"/>
      <c r="J21" s="515"/>
    </row>
    <row customHeight="1" ht="22.5">
      <c r="C22" s="162"/>
      <c r="D22" s="2085"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085"/>
      <c r="F22" s="2085"/>
      <c r="G22" s="2085"/>
      <c r="H22" s="2085"/>
      <c r="I22" s="2085"/>
      <c r="J22" s="682"/>
      <c r="K22" s="543"/>
    </row>
    <row customHeight="1" ht="15">
      <c r="C23" s="162"/>
      <c r="D23" s="2053" t="str">
        <f>IF(org=0,"Не определено",org)</f>
        <v>МУП г. Азова "Теплоэнерго"</v>
      </c>
      <c r="E23" s="2053"/>
      <c r="F23" s="2053"/>
      <c r="G23" s="2053"/>
      <c r="H23" s="2053"/>
      <c r="I23" s="2053"/>
      <c r="J23" s="682"/>
      <c r="K23" s="543"/>
    </row>
    <row customHeight="1" ht="15">
      <c r="C24" s="162"/>
      <c r="D24" s="515"/>
      <c r="E24" s="515"/>
      <c r="F24" s="515"/>
      <c r="G24" s="543">
        <v>22</v>
      </c>
      <c r="H24" s="758"/>
      <c r="I24" s="543">
        <v>22</v>
      </c>
      <c r="J24" s="758"/>
    </row>
    <row s="2624" customFormat="1" customHeight="1" ht="0.75">
      <c r="A25" s="765"/>
      <c r="C25" s="162"/>
      <c r="D25" s="515"/>
      <c r="E25" s="515"/>
      <c r="F25" s="515"/>
      <c r="G25" s="543"/>
      <c r="H25" s="758"/>
      <c r="I25" s="543" t="s">
        <v>116</v>
      </c>
      <c r="J25" s="758"/>
      <c r="K25" s="423"/>
      <c r="U25" s="681"/>
    </row>
    <row customHeight="1" ht="15">
      <c r="C26" s="162"/>
      <c r="D26" s="717"/>
      <c r="E26" s="2213" t="s">
        <v>104</v>
      </c>
      <c r="F26" s="2214"/>
      <c r="G26" s="2236" t="str">
        <f>IF(G25="","",INDEX(DIFFERENTIATION_UNMERGE_VD,MATCH(G25,DIFFERENTIATION_ID_DIFF,0)))</f>
        <v/>
      </c>
      <c r="H26" s="2237"/>
      <c r="I26" s="2236">
        <f>IF(I25="","",INDEX(DIFFERENTIATION_UNMERGE_VD,MATCH(I25,DIFFERENTIATION_ID_DIFF,0)))</f>
        <v>0</v>
      </c>
      <c r="J26" s="2237"/>
      <c r="K26" s="2028" t="s">
        <v>292</v>
      </c>
    </row>
    <row s="2624" customFormat="1" customHeight="1" ht="15">
      <c r="A27" s="765"/>
      <c r="C27" s="162"/>
      <c r="D27" s="717"/>
      <c r="E27" s="2213" t="s">
        <v>551</v>
      </c>
      <c r="F27" s="2214"/>
      <c r="G27" s="2236" t="str">
        <f>IF(G25="","",INDEX(DIFFERENTIATION_UNMERGE_AREA,MATCH(G25,DIFFERENTIATION_ID_DIFF,0)))</f>
        <v/>
      </c>
      <c r="H27" s="2237"/>
      <c r="I27" s="2236" t="str">
        <f>IF(I25="","",INDEX(DIFFERENTIATION_UNMERGE_AREA,MATCH(I25,DIFFERENTIATION_ID_DIFF,0)))</f>
        <v/>
      </c>
      <c r="J27" s="2237"/>
      <c r="K27" s="2032"/>
      <c r="U27" s="681"/>
    </row>
    <row s="2624" customFormat="1" customHeight="1" ht="15">
      <c r="A28" s="765"/>
      <c r="C28" s="162"/>
      <c r="D28" s="717"/>
      <c r="E28" s="2213" t="s">
        <v>552</v>
      </c>
      <c r="F28" s="2214"/>
      <c r="G28" s="2236" t="str">
        <f>IF(G25="","",INDEX(DIFFERENTIATION_UNMERGE_SYSTEM,MATCH(G25,DIFFERENTIATION_ID_DIFF,0)))</f>
        <v/>
      </c>
      <c r="H28" s="2237"/>
      <c r="I28" s="2236" t="str">
        <f>IF(I25="","",INDEX(DIFFERENTIATION_UNMERGE_SYSTEM,MATCH(I25,DIFFERENTIATION_ID_DIFF,0)))</f>
        <v>без дифференциации</v>
      </c>
      <c r="J28" s="2237"/>
      <c r="K28" s="2032"/>
      <c r="U28" s="681"/>
    </row>
    <row s="2624" customFormat="1" customHeight="1" ht="15">
      <c r="A29" s="765"/>
      <c r="C29" s="162"/>
      <c r="D29" s="2215" t="s">
        <v>291</v>
      </c>
      <c r="E29" s="2216"/>
      <c r="F29" s="2216"/>
      <c r="G29" s="893"/>
      <c r="H29" s="893"/>
      <c r="I29" s="893"/>
      <c r="J29" s="894"/>
      <c r="K29" s="2032"/>
      <c r="U29" s="681"/>
    </row>
    <row customHeight="1" ht="33.75">
      <c r="C30" s="162"/>
      <c r="D30" s="767" t="s">
        <v>87</v>
      </c>
      <c r="E30" s="766" t="s">
        <v>293</v>
      </c>
      <c r="F30" s="766" t="s">
        <v>553</v>
      </c>
      <c r="G30" s="814" t="s">
        <v>294</v>
      </c>
      <c r="H30" s="813" t="s">
        <v>383</v>
      </c>
      <c r="I30" s="690" t="s">
        <v>294</v>
      </c>
      <c r="J30" s="471" t="s">
        <v>383</v>
      </c>
      <c r="K30" s="2038"/>
    </row>
    <row customHeight="1" ht="15" hidden="1">
      <c r="C31" s="162"/>
      <c r="D31" s="599"/>
      <c r="E31" s="599"/>
      <c r="F31" s="599"/>
      <c r="G31" s="665"/>
      <c r="H31" s="665"/>
      <c r="I31" s="665"/>
      <c r="J31" s="665"/>
      <c r="K31" s="277"/>
    </row>
    <row customHeight="1" ht="22.5">
      <c r="A32" s="511"/>
      <c r="B32" s="511" t="s">
        <v>851</v>
      </c>
      <c r="C32" s="532"/>
      <c r="D32" s="698">
        <v>1</v>
      </c>
      <c r="E32" s="699" t="s">
        <v>852</v>
      </c>
      <c r="F32" s="697" t="s">
        <v>297</v>
      </c>
      <c r="G32" s="819" t="s">
        <v>297</v>
      </c>
      <c r="H32" s="819" t="s">
        <v>297</v>
      </c>
      <c r="I32" s="697" t="s">
        <v>297</v>
      </c>
      <c r="J32" s="697" t="s">
        <v>297</v>
      </c>
      <c r="K32" s="277"/>
    </row>
    <row customHeight="1" ht="11.25">
      <c r="A33" s="511"/>
      <c r="C33" s="511"/>
      <c r="D33" s="343"/>
      <c r="E33" s="586" t="s">
        <v>573</v>
      </c>
      <c r="F33" s="578"/>
      <c r="G33" s="578"/>
      <c r="H33" s="578"/>
      <c r="I33" s="578"/>
      <c r="J33" s="578"/>
      <c r="K33" s="579"/>
      <c r="U33" s="511"/>
    </row>
    <row customHeight="1" ht="22.5">
      <c r="A34" s="511"/>
      <c r="B34" s="587" t="s">
        <v>853</v>
      </c>
      <c r="C34" s="532"/>
      <c r="D34" s="698">
        <v>2</v>
      </c>
      <c r="E34" s="699" t="s">
        <v>854</v>
      </c>
      <c r="F34" s="826" t="s">
        <v>297</v>
      </c>
      <c r="G34" s="826" t="s">
        <v>297</v>
      </c>
      <c r="H34" s="826" t="s">
        <v>297</v>
      </c>
      <c r="I34" s="697"/>
      <c r="J34" s="697"/>
      <c r="K34" s="277"/>
    </row>
    <row customHeight="1" ht="11.25">
      <c r="A35" s="511"/>
      <c r="C35" s="511"/>
      <c r="D35" s="343"/>
      <c r="E35" s="586" t="s">
        <v>855</v>
      </c>
      <c r="F35" s="578"/>
      <c r="G35" s="700"/>
      <c r="H35" s="578"/>
      <c r="I35" s="700"/>
      <c r="J35" s="578"/>
      <c r="K35" s="579"/>
      <c r="U35" s="511"/>
    </row>
    <row customHeight="1" ht="67.5">
      <c r="A36" s="511"/>
      <c r="B36" s="511" t="s">
        <v>856</v>
      </c>
      <c r="C36" s="532"/>
      <c r="D36" s="698">
        <v>3</v>
      </c>
      <c r="E36" s="699" t="s">
        <v>857</v>
      </c>
      <c r="F36" s="701" t="s">
        <v>297</v>
      </c>
      <c r="G36" s="820" t="s">
        <v>858</v>
      </c>
      <c r="H36" s="819" t="s">
        <v>297</v>
      </c>
      <c r="I36" s="530" t="s">
        <v>858</v>
      </c>
      <c r="J36" s="697" t="s">
        <v>297</v>
      </c>
      <c r="K36" s="277" t="s">
        <v>859</v>
      </c>
    </row>
    <row customHeight="1" ht="11.25">
      <c r="A37" s="511"/>
      <c r="C37" s="511"/>
      <c r="D37" s="343"/>
      <c r="E37" s="586" t="s">
        <v>860</v>
      </c>
      <c r="F37" s="578"/>
      <c r="G37" s="700"/>
      <c r="H37" s="700"/>
      <c r="I37" s="700"/>
      <c r="J37" s="700"/>
      <c r="K37" s="579"/>
      <c r="U37" s="511"/>
    </row>
    <row customHeight="1" ht="67.5">
      <c r="A38" s="511"/>
      <c r="B38" s="511" t="s">
        <v>861</v>
      </c>
      <c r="C38" s="532"/>
      <c r="D38" s="698">
        <v>4</v>
      </c>
      <c r="E38" s="699" t="s">
        <v>862</v>
      </c>
      <c r="F38" s="701" t="s">
        <v>297</v>
      </c>
      <c r="G38" s="820" t="s">
        <v>858</v>
      </c>
      <c r="H38" s="821" t="s">
        <v>297</v>
      </c>
      <c r="I38" s="530" t="s">
        <v>858</v>
      </c>
      <c r="J38" s="527" t="s">
        <v>297</v>
      </c>
      <c r="K38" s="685" t="s">
        <v>863</v>
      </c>
    </row>
    <row customHeight="1" ht="11.25">
      <c r="A39" s="511"/>
      <c r="C39" s="511"/>
      <c r="D39" s="343"/>
      <c r="E39" s="586" t="s">
        <v>864</v>
      </c>
      <c r="F39" s="578"/>
      <c r="G39" s="578"/>
      <c r="H39" s="702"/>
      <c r="I39" s="578"/>
      <c r="J39" s="702"/>
      <c r="K39" s="579"/>
      <c r="U39" s="511"/>
    </row>
  </sheetData>
  <sheetProtection formatColumns="0" formatRows="0" autoFilter="0" sort="0" insertRows="0" insertColumns="1" deleteRows="0" deleteColumns="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48F70E-2028-5FB8-4FB8-1872DE2DF079}" mc:Ignorable="x14ac xr xr2 xr3">
  <sheetPr>
    <tabColor theme="9" tint="-0.25"/>
  </sheetPr>
  <dimension ref="A1:AD15"/>
  <sheetViews>
    <sheetView topLeftCell="A1" showGridLines="0" zoomScale="85" workbookViewId="0">
      <selection activeCell="A1" sqref="A1"/>
    </sheetView>
  </sheetViews>
  <sheetFormatPr defaultColWidth="9.140625" customHeight="1" defaultRowHeight="10.5"/>
  <cols>
    <col min="1" max="3" style="4343" width="6.7109375" hidden="1" customWidth="1"/>
    <col min="4" max="4" style="2625" width="6.7109375" hidden="1" customWidth="1"/>
    <col min="5" max="5" style="2628" width="3.7109375" customWidth="1"/>
    <col min="6" max="6" style="2624" width="6.28125" customWidth="1"/>
    <col min="7" max="7" style="2624" width="37.7109375" customWidth="1"/>
    <col min="8" max="8" style="2941" width="16.57421875" customWidth="1"/>
    <col min="9" max="10" style="2624" width="19.7109375" customWidth="1"/>
    <col min="11" max="11" style="2624" width="25.00390625" customWidth="1"/>
    <col min="12" max="13" style="2624" width="25.7109375" customWidth="1"/>
    <col min="14" max="16" style="2624" width="17.7109375" customWidth="1"/>
    <col min="17" max="24" style="2624" width="19.7109375" customWidth="1"/>
    <col min="25" max="25" style="2624" width="8.00390625" customWidth="1"/>
    <col min="26" max="26" style="2624" width="3.28125" customWidth="1"/>
    <col min="27" max="27" style="2624" width="6.28125" customWidth="1"/>
    <col min="28" max="28" style="2624" width="34.140625" customWidth="1"/>
    <col min="29" max="30" style="2624" width="9.140625"/>
  </cols>
  <sheetData>
    <row s="2625" customFormat="1" customHeight="1" ht="10.5" hidden="1">
      <c r="A1" s="901"/>
      <c r="B1" s="901"/>
      <c r="C1" s="901"/>
      <c r="E1" s="543"/>
      <c r="H1" s="1168"/>
    </row>
    <row customHeight="1" ht="10.5" hidden="1"/>
    <row s="3098" customFormat="1" customHeight="1" ht="10.5" hidden="1">
      <c r="A3" s="901"/>
      <c r="B3" s="901"/>
      <c r="C3" s="901"/>
      <c r="D3" s="423"/>
      <c r="E3" s="360"/>
      <c r="H3" s="1164"/>
    </row>
    <row customHeight="1" ht="3"/>
    <row customHeight="1" ht="25.5">
      <c r="F5" s="214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40"/>
      <c r="H5" s="2140"/>
      <c r="I5" s="2140"/>
      <c r="J5" s="2140"/>
      <c r="K5" s="2140"/>
      <c r="M5" s="588"/>
      <c r="AB5" s="912"/>
    </row>
    <row s="2950" customFormat="1" customHeight="1" ht="15.75">
      <c r="A6" s="1174"/>
      <c r="B6" s="1174"/>
      <c r="C6" s="1174"/>
      <c r="D6" s="1168"/>
      <c r="E6" s="1675"/>
      <c r="F6" s="2141" t="str">
        <f>IF(org=0,"Не определено",org)</f>
        <v>МУП г. Азова "Теплоэнерго"</v>
      </c>
      <c r="G6" s="2141"/>
      <c r="H6" s="2141"/>
      <c r="I6" s="2141"/>
      <c r="J6" s="2141"/>
      <c r="K6" s="2141"/>
      <c r="M6" s="588"/>
      <c r="AB6" s="1156"/>
    </row>
    <row r="8" customHeight="1" ht="10.5">
      <c r="A8" s="1058"/>
      <c r="B8" s="1058"/>
      <c r="C8" s="1058"/>
      <c r="F8" s="1955" t="s">
        <v>291</v>
      </c>
      <c r="G8" s="1956"/>
      <c r="H8" s="1956"/>
      <c r="I8" s="1956"/>
      <c r="J8" s="1956"/>
      <c r="K8" s="1956"/>
      <c r="L8" s="1956"/>
      <c r="M8" s="1956"/>
      <c r="N8" s="1956"/>
      <c r="O8" s="1956"/>
      <c r="P8" s="1956"/>
      <c r="Q8" s="1956"/>
      <c r="R8" s="1956"/>
      <c r="S8" s="1956"/>
      <c r="T8" s="1956"/>
      <c r="U8" s="1956"/>
      <c r="V8" s="1956"/>
      <c r="W8" s="1956"/>
      <c r="X8" s="1956"/>
      <c r="Y8" s="1956"/>
      <c r="Z8" s="1956"/>
      <c r="AA8" s="1956"/>
      <c r="AB8" s="1957"/>
    </row>
    <row customHeight="1" ht="41.25">
      <c r="A9" s="911"/>
      <c r="B9" s="911"/>
      <c r="C9" s="911"/>
      <c r="F9" s="1971" t="s">
        <v>87</v>
      </c>
      <c r="G9" s="1971" t="s">
        <v>865</v>
      </c>
      <c r="H9" s="2028" t="s">
        <v>866</v>
      </c>
      <c r="I9" s="1971" t="s">
        <v>867</v>
      </c>
      <c r="J9" s="1971" t="s">
        <v>868</v>
      </c>
      <c r="K9" s="1971" t="s">
        <v>869</v>
      </c>
      <c r="L9" s="1971" t="s">
        <v>870</v>
      </c>
      <c r="M9" s="1971" t="s">
        <v>871</v>
      </c>
      <c r="N9" s="2062" t="s">
        <v>872</v>
      </c>
      <c r="O9" s="2062"/>
      <c r="P9" s="2062"/>
      <c r="Q9" s="2242" t="s">
        <v>873</v>
      </c>
      <c r="R9" s="2243"/>
      <c r="S9" s="2243"/>
      <c r="T9" s="2244"/>
      <c r="U9" s="2242" t="s">
        <v>874</v>
      </c>
      <c r="V9" s="2243"/>
      <c r="W9" s="2243"/>
      <c r="X9" s="2244"/>
      <c r="Y9" s="1955" t="s">
        <v>875</v>
      </c>
      <c r="Z9" s="1956"/>
      <c r="AA9" s="1956"/>
      <c r="AB9" s="1957"/>
    </row>
    <row customHeight="1" ht="41.25">
      <c r="A10" s="911"/>
      <c r="B10" s="911"/>
      <c r="C10" s="911"/>
      <c r="F10" s="2028"/>
      <c r="G10" s="2028"/>
      <c r="H10" s="2090"/>
      <c r="I10" s="2028"/>
      <c r="J10" s="2028"/>
      <c r="K10" s="2028"/>
      <c r="L10" s="2028"/>
      <c r="M10" s="2028"/>
      <c r="N10" s="909" t="s">
        <v>876</v>
      </c>
      <c r="O10" s="909" t="s">
        <v>877</v>
      </c>
      <c r="P10" s="910" t="s">
        <v>878</v>
      </c>
      <c r="Q10" s="921" t="s">
        <v>88</v>
      </c>
      <c r="R10" s="921" t="s">
        <v>879</v>
      </c>
      <c r="S10" s="921" t="s">
        <v>880</v>
      </c>
      <c r="T10" s="922" t="s">
        <v>881</v>
      </c>
      <c r="U10" s="921" t="s">
        <v>88</v>
      </c>
      <c r="V10" s="921" t="s">
        <v>882</v>
      </c>
      <c r="W10" s="921" t="s">
        <v>880</v>
      </c>
      <c r="X10" s="922" t="s">
        <v>881</v>
      </c>
      <c r="Y10" s="289" t="s">
        <v>883</v>
      </c>
      <c r="Z10" s="1955" t="s">
        <v>87</v>
      </c>
      <c r="AA10" s="1957"/>
      <c r="AB10" s="1056" t="s">
        <v>884</v>
      </c>
    </row>
    <row s="2612" customFormat="1" customHeight="1" ht="5.25" hidden="1">
      <c r="A11" s="1059"/>
      <c r="B11" s="1059"/>
      <c r="C11" s="1059"/>
      <c r="E11" s="1057"/>
      <c r="F11" s="2240" t="s">
        <v>369</v>
      </c>
      <c r="G11" s="2245"/>
      <c r="H11" s="2238"/>
      <c r="I11" s="2238"/>
      <c r="J11" s="2238"/>
      <c r="K11" s="2241"/>
      <c r="L11" s="2241"/>
      <c r="M11" s="2241"/>
      <c r="N11" s="2238"/>
      <c r="O11" s="2238"/>
      <c r="P11" s="1971"/>
      <c r="Q11" s="2041"/>
      <c r="R11" s="2041"/>
      <c r="S11" s="2041"/>
      <c r="T11" s="2238"/>
      <c r="U11" s="2041"/>
      <c r="V11" s="2041"/>
      <c r="W11" s="2041"/>
      <c r="X11" s="2238"/>
      <c r="Y11" s="1982"/>
      <c r="Z11" s="1982"/>
      <c r="AA11" s="1982"/>
      <c r="AB11" s="1982"/>
      <c r="AD11" s="517" t="s">
        <v>885</v>
      </c>
    </row>
    <row s="2612" customFormat="1" customHeight="1" ht="5.25" hidden="1">
      <c r="A12" s="902"/>
      <c r="B12" s="902"/>
      <c r="C12" s="902"/>
      <c r="E12" s="524"/>
      <c r="F12" s="2240"/>
      <c r="G12" s="2245"/>
      <c r="H12" s="2238"/>
      <c r="I12" s="2238"/>
      <c r="J12" s="2238"/>
      <c r="K12" s="2241"/>
      <c r="L12" s="2241"/>
      <c r="M12" s="2241"/>
      <c r="N12" s="2238"/>
      <c r="O12" s="2238"/>
      <c r="P12" s="1971"/>
      <c r="Q12" s="2041"/>
      <c r="R12" s="2041"/>
      <c r="S12" s="2041"/>
      <c r="T12" s="2238"/>
      <c r="U12" s="2041"/>
      <c r="V12" s="2041"/>
      <c r="W12" s="2041"/>
      <c r="X12" s="2238"/>
      <c r="Y12" s="2239"/>
      <c r="Z12" s="2239"/>
      <c r="AA12" s="2239"/>
      <c r="AB12" s="2239"/>
    </row>
    <row customHeight="1" ht="10.5">
      <c r="F13" s="908"/>
      <c r="G13" s="656" t="s">
        <v>886</v>
      </c>
      <c r="H13" s="1176"/>
      <c r="I13" s="578"/>
      <c r="J13" s="578"/>
      <c r="K13" s="578"/>
      <c r="L13" s="578"/>
      <c r="M13" s="578"/>
      <c r="N13" s="578"/>
      <c r="O13" s="578"/>
      <c r="P13" s="578"/>
      <c r="Q13" s="578"/>
      <c r="R13" s="578"/>
      <c r="S13" s="578"/>
      <c r="T13" s="578"/>
      <c r="U13" s="578"/>
      <c r="V13" s="578"/>
      <c r="W13" s="578"/>
      <c r="X13" s="578"/>
      <c r="Y13" s="578"/>
      <c r="Z13" s="702"/>
      <c r="AA13" s="702"/>
      <c r="AB13" s="923"/>
    </row>
    <row r="15" s="2612" customFormat="1" customHeight="1" ht="10.5">
      <c r="A15" s="1175"/>
      <c r="B15" s="1175"/>
      <c r="C15" s="1175"/>
      <c r="E15" s="524"/>
      <c r="H15" s="517">
        <f>_xlfn.IFERROR(MATCH("нет",IP_MAIN_DIFFERENTIATION_EVENTS_FLAG,0),0)</f>
        <v>0</v>
      </c>
    </row>
  </sheetData>
  <sheetProtection formatColumns="0" formatRows="0" autoFilter="0" sort="0" insertRows="0" insertColumns="1" deleteRows="0" deleteColumns="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65BC08-F928-26B8-C998-3737DCD6325F}" mc:Ignorable="x14ac xr xr2 xr3">
  <sheetPr>
    <tabColor theme="9" tint="-0.25"/>
  </sheetPr>
  <dimension ref="A1:BF19"/>
  <sheetViews>
    <sheetView topLeftCell="A1" showGridLines="0" zoomScale="90" workbookViewId="0">
      <selection activeCell="A1" sqref="A1"/>
    </sheetView>
  </sheetViews>
  <sheetFormatPr defaultColWidth="9.140625" customHeight="1" defaultRowHeight="10.5"/>
  <cols>
    <col min="1" max="3" style="4343" width="4.140625" hidden="1" customWidth="1"/>
    <col min="4" max="4" style="2625" width="4.140625" hidden="1" customWidth="1"/>
    <col min="5" max="5" style="2628" width="3.7109375" customWidth="1"/>
    <col min="6" max="6" style="2624" width="14.421875" customWidth="1"/>
    <col min="7" max="7" style="2624" width="3.7109375" customWidth="1"/>
    <col min="8" max="8" style="2941" width="7.7109375" customWidth="1"/>
    <col min="9" max="10" style="2624" width="16.7109375" customWidth="1"/>
    <col min="11" max="11" style="2624" width="25.7109375" customWidth="1"/>
    <col min="12" max="12" style="4395" width="8.00390625" customWidth="1"/>
    <col min="13" max="13" style="4395" width="15.57421875" customWidth="1"/>
    <col min="14" max="14" style="2624" width="3.28125" customWidth="1"/>
    <col min="15" max="15" style="2624" width="4.7109375" customWidth="1"/>
    <col min="16" max="16" style="2624" width="9.00390625" customWidth="1"/>
    <col min="17" max="17" style="2624" width="21.7109375" customWidth="1"/>
    <col min="18" max="18" style="2624" width="14.7109375" customWidth="1"/>
    <col min="19" max="20" style="2624" width="17.7109375" customWidth="1"/>
    <col min="21" max="21" style="2624" width="9.7109375" customWidth="1"/>
    <col min="22" max="22" style="2624" width="12.7109375" customWidth="1"/>
    <col min="23" max="23" style="2624" width="9.7109375" customWidth="1"/>
    <col min="24" max="24" style="2624" width="21.7109375" customWidth="1"/>
    <col min="25" max="25" style="2624" width="12.7109375" customWidth="1"/>
    <col min="26" max="26" style="2624" width="3.28125" customWidth="1"/>
    <col min="27" max="27" style="2624" width="7.140625" customWidth="1"/>
    <col min="28" max="28" style="2624" width="38.421875" customWidth="1"/>
    <col min="29" max="29" style="2624" width="15.7109375" customWidth="1"/>
    <col min="30" max="30" style="4395" width="37.57421875" customWidth="1"/>
    <col min="31" max="31" style="2624" width="15.7109375" customWidth="1"/>
    <col min="32" max="33" style="2624" width="16.7109375" customWidth="1"/>
    <col min="34" max="34" style="4417" width="16.7109375" customWidth="1"/>
    <col min="35" max="35" style="4418" width="16.7109375" customWidth="1"/>
    <col min="36" max="37" style="2624" width="16.7109375" customWidth="1"/>
    <col min="38" max="58" style="2624" width="9.140625"/>
  </cols>
  <sheetData>
    <row s="2625" customFormat="1" customHeight="1" ht="10.5" hidden="1">
      <c r="A1" s="901"/>
      <c r="B1" s="901"/>
      <c r="C1" s="901"/>
      <c r="E1" s="543"/>
      <c r="H1" s="1168"/>
      <c r="L1" s="1136"/>
      <c r="M1" s="1136"/>
      <c r="AD1" s="1136"/>
      <c r="AH1" s="1155"/>
      <c r="AI1" s="1148"/>
    </row>
    <row customHeight="1" ht="10.5" hidden="1"/>
    <row s="3098" customFormat="1" customHeight="1" ht="10.5" hidden="1">
      <c r="A3" s="901"/>
      <c r="B3" s="901"/>
      <c r="C3" s="901"/>
      <c r="D3" s="423"/>
      <c r="E3" s="360"/>
      <c r="H3" s="1164"/>
      <c r="L3" s="1134"/>
      <c r="M3" s="1134"/>
      <c r="AD3" s="1134"/>
      <c r="AH3" s="1153"/>
      <c r="AI3" s="1146"/>
    </row>
    <row customHeight="1" ht="3"/>
    <row customHeight="1" ht="25.5">
      <c r="F5" s="214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40"/>
      <c r="H5" s="2140"/>
      <c r="I5" s="2140"/>
      <c r="J5" s="2140"/>
      <c r="K5" s="2140"/>
      <c r="L5" s="1143"/>
      <c r="M5" s="1143"/>
      <c r="AG5" s="912"/>
      <c r="AH5" s="1156"/>
    </row>
    <row customHeight="1" ht="10.5">
      <c r="F6" s="2053" t="str">
        <f>IF(org=0,"Не определено",org)</f>
        <v>МУП г. Азова "Теплоэнерго"</v>
      </c>
      <c r="G6" s="2053"/>
      <c r="H6" s="2053"/>
      <c r="I6" s="2053"/>
      <c r="J6" s="2053"/>
      <c r="K6" s="2053"/>
      <c r="L6" s="1144"/>
      <c r="M6" s="1144"/>
    </row>
    <row customHeight="1" ht="11.25">
      <c r="E7" s="914"/>
      <c r="F7" s="925"/>
      <c r="G7" s="925"/>
      <c r="H7" s="1194"/>
      <c r="I7" s="925"/>
      <c r="J7" s="925"/>
      <c r="K7" s="927"/>
      <c r="L7" s="1141"/>
      <c r="M7" s="1141"/>
      <c r="N7" s="925"/>
      <c r="O7" s="925"/>
      <c r="P7" s="925"/>
      <c r="Q7" s="927"/>
      <c r="R7" s="925"/>
      <c r="S7" s="925"/>
      <c r="T7" s="925"/>
      <c r="U7" s="925"/>
      <c r="V7" s="925"/>
      <c r="W7" s="925"/>
      <c r="X7" s="925"/>
      <c r="Y7" s="925"/>
      <c r="Z7" s="925"/>
      <c r="AA7" s="925"/>
      <c r="AB7" s="925"/>
      <c r="AC7" s="926"/>
      <c r="AD7" s="1140"/>
      <c r="AE7" s="926"/>
      <c r="AF7" s="925"/>
      <c r="AG7" s="925"/>
      <c r="AH7" s="1158"/>
      <c r="AI7" s="1151"/>
      <c r="AJ7" s="925"/>
      <c r="AK7" s="925"/>
      <c r="AL7" s="916"/>
      <c r="AM7" s="916"/>
      <c r="AN7" s="916"/>
      <c r="AO7" s="913"/>
      <c r="AP7" s="913"/>
      <c r="AQ7" s="913"/>
      <c r="AR7" s="913"/>
      <c r="AS7" s="913"/>
      <c r="AT7" s="913"/>
      <c r="AU7" s="913"/>
      <c r="AV7" s="913"/>
      <c r="AW7" s="913"/>
      <c r="AX7" s="913"/>
      <c r="AY7" s="913"/>
      <c r="AZ7" s="913"/>
      <c r="BA7" s="913"/>
      <c r="BB7" s="913"/>
      <c r="BC7" s="913"/>
      <c r="BD7" s="913"/>
      <c r="BE7" s="913"/>
      <c r="BF7" s="913"/>
    </row>
    <row customHeight="1" ht="10.5">
      <c r="E8" s="914"/>
      <c r="F8" s="2255" t="s">
        <v>291</v>
      </c>
      <c r="G8" s="2256"/>
      <c r="H8" s="2256"/>
      <c r="I8" s="2256"/>
      <c r="J8" s="2256"/>
      <c r="K8" s="2256"/>
      <c r="L8" s="2256"/>
      <c r="M8" s="2256"/>
      <c r="N8" s="2256"/>
      <c r="O8" s="2256"/>
      <c r="P8" s="2256"/>
      <c r="Q8" s="2256"/>
      <c r="R8" s="2256"/>
      <c r="S8" s="2256"/>
      <c r="T8" s="2256"/>
      <c r="U8" s="2256"/>
      <c r="V8" s="2256"/>
      <c r="W8" s="2256"/>
      <c r="X8" s="2256"/>
      <c r="Y8" s="2256"/>
      <c r="Z8" s="2256"/>
      <c r="AA8" s="2256"/>
      <c r="AB8" s="2256"/>
      <c r="AC8" s="2256"/>
      <c r="AD8" s="2256"/>
      <c r="AE8" s="2256"/>
      <c r="AF8" s="2256"/>
      <c r="AG8" s="2256"/>
      <c r="AH8" s="2256"/>
      <c r="AI8" s="2256"/>
      <c r="AJ8" s="2256"/>
      <c r="AK8" s="2257"/>
      <c r="AL8" s="915"/>
      <c r="AM8" s="913"/>
      <c r="AN8" s="913"/>
      <c r="AO8" s="913"/>
      <c r="AP8" s="913"/>
      <c r="AQ8" s="913"/>
      <c r="AR8" s="913"/>
      <c r="AS8" s="913"/>
      <c r="AT8" s="913"/>
      <c r="AU8" s="913"/>
      <c r="AV8" s="913"/>
      <c r="AW8" s="913"/>
      <c r="AX8" s="913"/>
      <c r="AY8" s="913"/>
      <c r="AZ8" s="913"/>
      <c r="BA8" s="913"/>
      <c r="BB8" s="913"/>
      <c r="BC8" s="913"/>
      <c r="BD8" s="913"/>
      <c r="BE8" s="913"/>
      <c r="BF8" s="913"/>
    </row>
    <row customHeight="1" ht="23.25">
      <c r="A9" s="911"/>
      <c r="B9" s="911"/>
      <c r="C9" s="911"/>
      <c r="E9" s="914"/>
      <c r="F9" s="2248" t="s">
        <v>887</v>
      </c>
      <c r="G9" s="2249" t="s">
        <v>888</v>
      </c>
      <c r="H9" s="2250"/>
      <c r="I9" s="1971" t="s">
        <v>889</v>
      </c>
      <c r="J9" s="1971"/>
      <c r="K9" s="1971" t="s">
        <v>890</v>
      </c>
      <c r="L9" s="1971"/>
      <c r="M9" s="1971"/>
      <c r="N9" s="1971"/>
      <c r="O9" s="1971"/>
      <c r="P9" s="1971"/>
      <c r="Q9" s="1971"/>
      <c r="R9" s="1971"/>
      <c r="S9" s="1971"/>
      <c r="T9" s="1971"/>
      <c r="U9" s="1971"/>
      <c r="V9" s="1971"/>
      <c r="W9" s="1971"/>
      <c r="X9" s="1971"/>
      <c r="Y9" s="1971"/>
      <c r="Z9" s="2029" t="s">
        <v>891</v>
      </c>
      <c r="AA9" s="2030"/>
      <c r="AB9" s="1971" t="s">
        <v>892</v>
      </c>
      <c r="AC9" s="1971"/>
      <c r="AD9" s="1971"/>
      <c r="AE9" s="1971"/>
      <c r="AF9" s="2028" t="s">
        <v>893</v>
      </c>
      <c r="AG9" s="1971" t="s">
        <v>894</v>
      </c>
      <c r="AH9" s="1971"/>
      <c r="AI9" s="2028" t="s">
        <v>895</v>
      </c>
      <c r="AJ9" s="1971" t="s">
        <v>896</v>
      </c>
      <c r="AK9" s="1971"/>
      <c r="AL9" s="1150"/>
      <c r="AM9" s="913"/>
      <c r="AN9" s="913"/>
      <c r="AO9" s="913"/>
      <c r="AP9" s="913"/>
      <c r="AQ9" s="913"/>
      <c r="AR9" s="913"/>
      <c r="AS9" s="913"/>
      <c r="AT9" s="913"/>
      <c r="AU9" s="913"/>
      <c r="AV9" s="913"/>
      <c r="AW9" s="913"/>
      <c r="AX9" s="913"/>
      <c r="AY9" s="913"/>
      <c r="AZ9" s="913"/>
      <c r="BA9" s="913"/>
      <c r="BB9" s="913"/>
      <c r="BC9" s="913"/>
      <c r="BD9" s="913"/>
      <c r="BE9" s="913"/>
      <c r="BF9" s="913"/>
    </row>
    <row customHeight="1" ht="23.25">
      <c r="A10" s="911"/>
      <c r="B10" s="911"/>
      <c r="C10" s="911"/>
      <c r="E10" s="918"/>
      <c r="F10" s="2248"/>
      <c r="G10" s="2251"/>
      <c r="H10" s="2252"/>
      <c r="I10" s="1971"/>
      <c r="J10" s="1971"/>
      <c r="K10" s="1971" t="s">
        <v>897</v>
      </c>
      <c r="L10" s="1955" t="s">
        <v>898</v>
      </c>
      <c r="M10" s="1957"/>
      <c r="N10" s="1971" t="s">
        <v>899</v>
      </c>
      <c r="O10" s="1971"/>
      <c r="P10" s="1971"/>
      <c r="Q10" s="1971"/>
      <c r="R10" s="1971"/>
      <c r="S10" s="1971"/>
      <c r="T10" s="1971"/>
      <c r="U10" s="1971"/>
      <c r="V10" s="1971"/>
      <c r="W10" s="1971"/>
      <c r="X10" s="1971"/>
      <c r="Y10" s="1971"/>
      <c r="Z10" s="2031"/>
      <c r="AA10" s="2032"/>
      <c r="AB10" s="1971"/>
      <c r="AC10" s="1971"/>
      <c r="AD10" s="1971"/>
      <c r="AE10" s="1971"/>
      <c r="AF10" s="2036"/>
      <c r="AG10" s="1971"/>
      <c r="AH10" s="1971"/>
      <c r="AI10" s="2036"/>
      <c r="AJ10" s="1971"/>
      <c r="AK10" s="1971"/>
      <c r="AL10" s="1150"/>
      <c r="AM10" s="919"/>
      <c r="AN10" s="919"/>
      <c r="AO10" s="919"/>
      <c r="AP10" s="919"/>
      <c r="AQ10" s="919"/>
      <c r="AR10" s="919"/>
      <c r="AS10" s="919"/>
      <c r="AT10" s="919"/>
      <c r="AU10" s="919"/>
      <c r="AV10" s="919"/>
      <c r="AW10" s="919"/>
      <c r="AX10" s="919"/>
      <c r="AY10" s="919"/>
      <c r="AZ10" s="919"/>
      <c r="BA10" s="919"/>
      <c r="BB10" s="919"/>
      <c r="BC10" s="919"/>
      <c r="BD10" s="919"/>
      <c r="BE10" s="919"/>
      <c r="BF10" s="919"/>
    </row>
    <row s="4395" customFormat="1" customHeight="1" ht="23.25">
      <c r="A11" s="1137"/>
      <c r="B11" s="1137"/>
      <c r="C11" s="1137"/>
      <c r="D11" s="1136"/>
      <c r="E11" s="1138"/>
      <c r="F11" s="2248"/>
      <c r="G11" s="2251"/>
      <c r="H11" s="2252"/>
      <c r="I11" s="1971"/>
      <c r="J11" s="1971"/>
      <c r="K11" s="1971"/>
      <c r="L11" s="2028" t="s">
        <v>900</v>
      </c>
      <c r="M11" s="2028" t="s">
        <v>901</v>
      </c>
      <c r="N11" s="1971" t="s">
        <v>902</v>
      </c>
      <c r="O11" s="1971"/>
      <c r="P11" s="2246" t="s">
        <v>883</v>
      </c>
      <c r="Q11" s="2246" t="s">
        <v>903</v>
      </c>
      <c r="R11" s="2246" t="s">
        <v>904</v>
      </c>
      <c r="S11" s="2246" t="s">
        <v>905</v>
      </c>
      <c r="T11" s="2246"/>
      <c r="U11" s="2246"/>
      <c r="V11" s="2246"/>
      <c r="W11" s="2246"/>
      <c r="X11" s="2246"/>
      <c r="Y11" s="2246"/>
      <c r="Z11" s="2031"/>
      <c r="AA11" s="2032"/>
      <c r="AB11" s="1971" t="s">
        <v>906</v>
      </c>
      <c r="AC11" s="1971"/>
      <c r="AD11" s="1955" t="s">
        <v>907</v>
      </c>
      <c r="AE11" s="1957"/>
      <c r="AF11" s="2036"/>
      <c r="AG11" s="1971"/>
      <c r="AH11" s="1971"/>
      <c r="AI11" s="2036"/>
      <c r="AJ11" s="1971"/>
      <c r="AK11" s="1971"/>
      <c r="AL11" s="1150"/>
      <c r="AM11" s="1135"/>
      <c r="AN11" s="1135"/>
      <c r="AO11" s="1135"/>
      <c r="AP11" s="1135"/>
      <c r="AQ11" s="1135"/>
      <c r="AR11" s="1135"/>
      <c r="AS11" s="1135"/>
      <c r="AT11" s="1135"/>
      <c r="AU11" s="1135"/>
      <c r="AV11" s="1135"/>
      <c r="AW11" s="1135"/>
      <c r="AX11" s="1135"/>
      <c r="AY11" s="1135"/>
      <c r="AZ11" s="1135"/>
      <c r="BA11" s="1135"/>
      <c r="BB11" s="1135"/>
      <c r="BC11" s="1135"/>
      <c r="BD11" s="1135"/>
      <c r="BE11" s="1135"/>
      <c r="BF11" s="1135"/>
    </row>
    <row customHeight="1" ht="33.75">
      <c r="A12" s="911"/>
      <c r="B12" s="911"/>
      <c r="C12" s="911"/>
      <c r="E12" s="914"/>
      <c r="F12" s="2248"/>
      <c r="G12" s="2253"/>
      <c r="H12" s="2254"/>
      <c r="I12" s="1161" t="s">
        <v>88</v>
      </c>
      <c r="J12" s="1161" t="s">
        <v>908</v>
      </c>
      <c r="K12" s="1971"/>
      <c r="L12" s="2090"/>
      <c r="M12" s="2090"/>
      <c r="N12" s="1971"/>
      <c r="O12" s="1971"/>
      <c r="P12" s="2246"/>
      <c r="Q12" s="2246"/>
      <c r="R12" s="2246"/>
      <c r="S12" s="1142" t="s">
        <v>85</v>
      </c>
      <c r="T12" s="1142" t="s">
        <v>86</v>
      </c>
      <c r="U12" s="1142" t="s">
        <v>84</v>
      </c>
      <c r="V12" s="1142" t="s">
        <v>909</v>
      </c>
      <c r="W12" s="1142" t="s">
        <v>84</v>
      </c>
      <c r="X12" s="1142" t="s">
        <v>910</v>
      </c>
      <c r="Y12" s="1142" t="s">
        <v>911</v>
      </c>
      <c r="Z12" s="2037"/>
      <c r="AA12" s="2038"/>
      <c r="AB12" s="1149" t="s">
        <v>912</v>
      </c>
      <c r="AC12" s="1149" t="s">
        <v>913</v>
      </c>
      <c r="AD12" s="1149" t="s">
        <v>912</v>
      </c>
      <c r="AE12" s="1149" t="s">
        <v>913</v>
      </c>
      <c r="AF12" s="2090"/>
      <c r="AG12" s="1162" t="s">
        <v>914</v>
      </c>
      <c r="AH12" s="1162" t="s">
        <v>915</v>
      </c>
      <c r="AI12" s="2090"/>
      <c r="AJ12" s="1162" t="s">
        <v>914</v>
      </c>
      <c r="AK12" s="1162" t="s">
        <v>915</v>
      </c>
      <c r="AL12" s="1150"/>
      <c r="AM12" s="913"/>
      <c r="AN12" s="913"/>
      <c r="AO12" s="913"/>
      <c r="AP12" s="913"/>
      <c r="AQ12" s="913"/>
      <c r="AR12" s="913"/>
      <c r="AS12" s="913"/>
      <c r="AT12" s="913"/>
      <c r="AU12" s="913"/>
      <c r="AV12" s="913"/>
      <c r="AW12" s="913"/>
      <c r="AX12" s="913"/>
      <c r="AY12" s="913"/>
      <c r="AZ12" s="913"/>
      <c r="BA12" s="913"/>
      <c r="BB12" s="913"/>
      <c r="BC12" s="913"/>
      <c r="BD12" s="913"/>
      <c r="BE12" s="913"/>
      <c r="BF12" s="913"/>
    </row>
    <row customHeight="1" ht="0.75">
      <c r="E13" s="914"/>
      <c r="F13" s="1132">
        <v>0</v>
      </c>
      <c r="G13" s="1132"/>
      <c r="H13" s="1132"/>
      <c r="I13" s="1132"/>
      <c r="J13" s="1132"/>
      <c r="K13" s="1139"/>
      <c r="L13" s="1139"/>
      <c r="M13" s="1139"/>
      <c r="N13" s="1139"/>
      <c r="O13" s="1139"/>
      <c r="P13" s="1139"/>
      <c r="Q13" s="1139"/>
      <c r="R13" s="1139"/>
      <c r="S13" s="1139"/>
      <c r="T13" s="1139"/>
      <c r="U13" s="1139"/>
      <c r="V13" s="1139"/>
      <c r="W13" s="1139"/>
      <c r="X13" s="1139"/>
      <c r="Y13" s="1139"/>
      <c r="Z13" s="1139"/>
      <c r="AA13" s="1139"/>
      <c r="AB13" s="1139"/>
      <c r="AC13" s="1139"/>
      <c r="AD13" s="1139"/>
      <c r="AE13" s="1139"/>
      <c r="AF13" s="1139"/>
      <c r="AG13" s="1139"/>
      <c r="AH13" s="1157"/>
      <c r="AI13" s="1150"/>
      <c r="AJ13" s="1139"/>
      <c r="AK13" s="1139"/>
      <c r="AL13" s="915"/>
      <c r="AM13" s="913"/>
      <c r="AN13" s="913"/>
      <c r="AO13" s="913"/>
      <c r="AP13" s="913"/>
      <c r="AQ13" s="913"/>
      <c r="AR13" s="913"/>
      <c r="AS13" s="913"/>
      <c r="AT13" s="913"/>
      <c r="AU13" s="913"/>
      <c r="AV13" s="913"/>
      <c r="AW13" s="913"/>
      <c r="AX13" s="913"/>
      <c r="AY13" s="913"/>
      <c r="AZ13" s="913"/>
      <c r="BA13" s="913"/>
      <c r="BB13" s="913"/>
      <c r="BC13" s="913"/>
      <c r="BD13" s="913"/>
      <c r="BE13" s="913"/>
      <c r="BF13" s="913"/>
    </row>
    <row customHeight="1" ht="10.5">
      <c r="E14" s="913"/>
      <c r="F14" s="924"/>
      <c r="G14" s="924"/>
      <c r="H14" s="1181"/>
      <c r="I14" s="924"/>
      <c r="J14" s="924"/>
      <c r="K14" s="924"/>
      <c r="L14" s="1139"/>
      <c r="M14" s="1139"/>
      <c r="N14" s="924"/>
      <c r="O14" s="924"/>
      <c r="P14" s="924"/>
      <c r="Q14" s="924"/>
      <c r="R14" s="924"/>
      <c r="S14" s="924"/>
      <c r="T14" s="924"/>
      <c r="U14" s="924"/>
      <c r="V14" s="924"/>
      <c r="W14" s="924"/>
      <c r="X14" s="924"/>
      <c r="Y14" s="924"/>
      <c r="Z14" s="924"/>
      <c r="AA14" s="924"/>
      <c r="AB14" s="924"/>
      <c r="AC14" s="924"/>
      <c r="AD14" s="1139"/>
      <c r="AE14" s="924"/>
      <c r="AF14" s="924"/>
      <c r="AG14" s="924"/>
      <c r="AH14" s="1157"/>
      <c r="AI14" s="1150"/>
      <c r="AJ14" s="924"/>
      <c r="AK14" s="924"/>
      <c r="AL14" s="913"/>
      <c r="AM14" s="913"/>
      <c r="AN14" s="913"/>
      <c r="AO14" s="913"/>
      <c r="AP14" s="913"/>
      <c r="AQ14" s="913"/>
      <c r="AR14" s="913"/>
      <c r="AS14" s="913"/>
      <c r="AT14" s="913"/>
      <c r="AU14" s="913"/>
      <c r="AV14" s="913"/>
      <c r="AW14" s="913"/>
      <c r="AX14" s="913"/>
      <c r="AY14" s="913"/>
      <c r="AZ14" s="913"/>
      <c r="BA14" s="913"/>
      <c r="BB14" s="913"/>
      <c r="BC14" s="913"/>
      <c r="BD14" s="913"/>
      <c r="BE14" s="913"/>
      <c r="BF14" s="913"/>
    </row>
    <row customHeight="1" ht="12.75">
      <c r="E15" s="913"/>
      <c r="F15" s="920" t="s">
        <v>916</v>
      </c>
      <c r="G15" s="920"/>
      <c r="H15" s="1180"/>
      <c r="I15" s="920"/>
      <c r="J15" s="920"/>
      <c r="K15" s="917"/>
      <c r="L15" s="1135"/>
      <c r="M15" s="1135"/>
      <c r="N15" s="919"/>
      <c r="O15" s="919"/>
      <c r="P15" s="919"/>
      <c r="Q15" s="919"/>
      <c r="R15" s="919"/>
      <c r="S15" s="919"/>
      <c r="T15" s="919"/>
      <c r="U15" s="919"/>
      <c r="V15" s="919"/>
      <c r="W15" s="919"/>
      <c r="X15" s="919"/>
      <c r="Y15" s="919"/>
      <c r="Z15" s="917"/>
      <c r="AA15" s="917"/>
      <c r="AB15" s="917"/>
      <c r="AC15" s="917"/>
      <c r="AD15" s="1135"/>
      <c r="AE15" s="917"/>
      <c r="AF15" s="917"/>
      <c r="AG15" s="917"/>
      <c r="AH15" s="1154"/>
      <c r="AI15" s="1147"/>
      <c r="AJ15" s="917"/>
      <c r="AK15" s="917"/>
      <c r="AL15" s="913"/>
      <c r="AM15" s="913"/>
      <c r="AN15" s="913"/>
      <c r="AO15" s="913"/>
      <c r="AP15" s="913"/>
      <c r="AQ15" s="913"/>
      <c r="AR15" s="913"/>
      <c r="AS15" s="913"/>
      <c r="AT15" s="913"/>
      <c r="AU15" s="913"/>
      <c r="AV15" s="913"/>
      <c r="AW15" s="913"/>
      <c r="AX15" s="913"/>
      <c r="AY15" s="913"/>
      <c r="AZ15" s="913"/>
      <c r="BA15" s="913"/>
      <c r="BB15" s="913"/>
      <c r="BC15" s="913"/>
      <c r="BD15" s="913"/>
      <c r="BE15" s="913"/>
      <c r="BF15" s="913"/>
    </row>
    <row r="17" customHeight="1" ht="10.5">
      <c r="E17" s="913"/>
      <c r="F17" s="2247"/>
      <c r="G17" s="2247"/>
      <c r="H17" s="2247"/>
      <c r="I17" s="2247"/>
      <c r="J17" s="2247"/>
      <c r="K17" s="917"/>
      <c r="L17" s="1135"/>
      <c r="M17" s="1135"/>
      <c r="N17" s="919"/>
      <c r="O17" s="919"/>
      <c r="P17" s="919"/>
      <c r="Q17" s="919"/>
      <c r="R17" s="919"/>
      <c r="S17" s="919"/>
      <c r="T17" s="919"/>
      <c r="U17" s="919"/>
      <c r="V17" s="919"/>
      <c r="W17" s="919"/>
      <c r="X17" s="919"/>
      <c r="Y17" s="919"/>
      <c r="Z17" s="917"/>
      <c r="AA17" s="917"/>
      <c r="AB17" s="917"/>
      <c r="AC17" s="917"/>
      <c r="AD17" s="1135"/>
      <c r="AE17" s="917"/>
      <c r="AF17" s="917"/>
      <c r="AG17" s="917"/>
      <c r="AH17" s="1154"/>
      <c r="AI17" s="1147"/>
      <c r="AJ17" s="917"/>
      <c r="AK17" s="917"/>
      <c r="AL17" s="913"/>
      <c r="AM17" s="913"/>
      <c r="AN17" s="913"/>
      <c r="AO17" s="913"/>
      <c r="AP17" s="913"/>
      <c r="AQ17" s="913"/>
      <c r="AR17" s="913"/>
      <c r="AS17" s="913"/>
      <c r="AT17" s="913"/>
      <c r="AU17" s="913"/>
      <c r="AV17" s="913"/>
      <c r="AW17" s="913"/>
      <c r="AX17" s="913"/>
      <c r="AY17" s="913"/>
      <c r="AZ17" s="913"/>
      <c r="BA17" s="913"/>
      <c r="BB17" s="913"/>
      <c r="BC17" s="913"/>
      <c r="BD17" s="913"/>
      <c r="BE17" s="913"/>
      <c r="BF17" s="913"/>
    </row>
    <row customHeight="1" ht="10.5">
      <c r="E18" s="913"/>
      <c r="F18" s="2247"/>
      <c r="G18" s="2247"/>
      <c r="H18" s="2247"/>
      <c r="I18" s="2247"/>
      <c r="J18" s="2247"/>
      <c r="K18" s="917"/>
      <c r="L18" s="1135"/>
      <c r="M18" s="1135"/>
      <c r="N18" s="919"/>
      <c r="O18" s="919"/>
      <c r="P18" s="919"/>
      <c r="Q18" s="919"/>
      <c r="R18" s="919"/>
      <c r="S18" s="919"/>
      <c r="T18" s="919"/>
      <c r="U18" s="919"/>
      <c r="V18" s="919"/>
      <c r="W18" s="919"/>
      <c r="X18" s="919"/>
      <c r="Y18" s="919"/>
      <c r="Z18" s="917"/>
      <c r="AA18" s="917"/>
      <c r="AB18" s="917"/>
      <c r="AC18" s="917"/>
      <c r="AD18" s="1135"/>
      <c r="AE18" s="917"/>
      <c r="AF18" s="917"/>
      <c r="AG18" s="917"/>
      <c r="AH18" s="1154"/>
      <c r="AI18" s="1147"/>
      <c r="AJ18" s="917"/>
      <c r="AK18" s="917"/>
      <c r="AL18" s="913"/>
      <c r="AM18" s="913"/>
      <c r="AN18" s="913"/>
      <c r="AO18" s="913"/>
      <c r="AP18" s="913"/>
      <c r="AQ18" s="913"/>
      <c r="AR18" s="913"/>
      <c r="AS18" s="913"/>
      <c r="AT18" s="913"/>
      <c r="AU18" s="913"/>
      <c r="AV18" s="913"/>
      <c r="AW18" s="913"/>
      <c r="AX18" s="913"/>
      <c r="AY18" s="913"/>
      <c r="AZ18" s="913"/>
      <c r="BA18" s="913"/>
      <c r="BB18" s="913"/>
      <c r="BC18" s="913"/>
      <c r="BD18" s="913"/>
      <c r="BE18" s="913"/>
      <c r="BF18" s="913"/>
    </row>
    <row customHeight="1" ht="10.5">
      <c r="E19" s="913"/>
      <c r="F19" s="2247"/>
      <c r="G19" s="2247"/>
      <c r="H19" s="2247"/>
      <c r="I19" s="2247"/>
      <c r="J19" s="2247"/>
      <c r="K19" s="917"/>
      <c r="L19" s="1135"/>
      <c r="M19" s="1135"/>
      <c r="N19" s="919"/>
      <c r="O19" s="919"/>
      <c r="P19" s="919"/>
      <c r="Q19" s="919"/>
      <c r="R19" s="919"/>
      <c r="S19" s="919"/>
      <c r="T19" s="919"/>
      <c r="U19" s="919"/>
      <c r="V19" s="919"/>
      <c r="W19" s="919"/>
      <c r="X19" s="919"/>
      <c r="Y19" s="919"/>
      <c r="Z19" s="917"/>
      <c r="AA19" s="917"/>
      <c r="AB19" s="917"/>
      <c r="AC19" s="917"/>
      <c r="AD19" s="1135"/>
      <c r="AE19" s="917"/>
      <c r="AF19" s="917"/>
      <c r="AG19" s="917"/>
      <c r="AH19" s="1154"/>
      <c r="AI19" s="1147"/>
      <c r="AJ19" s="917"/>
      <c r="AK19" s="917"/>
      <c r="AL19" s="913"/>
      <c r="AM19" s="913"/>
      <c r="AN19" s="913"/>
      <c r="AO19" s="913"/>
      <c r="AP19" s="913"/>
      <c r="AQ19" s="913"/>
      <c r="AR19" s="913"/>
      <c r="AS19" s="913"/>
      <c r="AT19" s="913"/>
      <c r="AU19" s="913"/>
      <c r="AV19" s="913"/>
      <c r="AW19" s="913"/>
      <c r="AX19" s="913"/>
      <c r="AY19" s="913"/>
      <c r="AZ19" s="913"/>
      <c r="BA19" s="913"/>
      <c r="BB19" s="913"/>
      <c r="BC19" s="913"/>
      <c r="BD19" s="913"/>
      <c r="BE19" s="913"/>
      <c r="BF19" s="913"/>
    </row>
  </sheetData>
  <sheetProtection formatColumns="0" formatRows="0" autoFilter="0" sort="0" insertRows="0" insertColumns="1" deleteRows="0" deleteColumns="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578DC6-DA0E-B106-41C8-26C181C33BE5}" mc:Ignorable="x14ac xr xr2 xr3">
  <sheetPr>
    <tabColor theme="9" tint="-0.25"/>
  </sheetPr>
  <dimension ref="A1:V58"/>
  <sheetViews>
    <sheetView topLeftCell="A1" showGridLines="0" zoomScale="85" workbookViewId="0">
      <selection activeCell="A1" sqref="A1"/>
    </sheetView>
  </sheetViews>
  <sheetFormatPr defaultColWidth="9.140625" customHeight="1" defaultRowHeight="10.5"/>
  <cols>
    <col min="1" max="3" style="4345" width="4.140625" hidden="1" customWidth="1"/>
    <col min="4" max="4" style="3293" width="4.140625" hidden="1" customWidth="1"/>
    <col min="5" max="5" style="2628" width="3.7109375" customWidth="1"/>
    <col min="6" max="6" style="2941" width="6.28125" customWidth="1"/>
    <col min="7" max="7" style="2941" width="60.140625" customWidth="1"/>
    <col min="8" max="9" style="2941" width="21.7109375" hidden="1" customWidth="1"/>
    <col min="10" max="10" style="2941" width="0.140625" customWidth="1"/>
    <col min="11" max="11" style="2941" width="1.7109375" customWidth="1"/>
    <col min="12" max="22" style="2941" width="9.140625"/>
  </cols>
  <sheetData>
    <row s="3293" customFormat="1" customHeight="1" ht="10.5" hidden="1">
      <c r="A1" s="1174"/>
      <c r="B1" s="1174"/>
      <c r="C1" s="1174"/>
      <c r="E1" s="543"/>
    </row>
    <row customHeight="1" ht="10.5" hidden="1"/>
    <row s="2940" customFormat="1" customHeight="1" ht="10.5" hidden="1">
      <c r="A3" s="1174"/>
      <c r="B3" s="1174"/>
      <c r="C3" s="1174"/>
      <c r="D3" s="1168"/>
      <c r="E3" s="360"/>
    </row>
    <row customHeight="1" ht="3"/>
    <row customHeight="1" ht="25.5">
      <c r="F5" s="2140"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40"/>
      <c r="H5" s="2140"/>
      <c r="I5" s="2140"/>
      <c r="J5" s="2140"/>
    </row>
    <row customHeight="1" ht="10.5">
      <c r="F6" s="2053" t="str">
        <f>IF(org=0,"Не определено",org)</f>
        <v>МУП г. Азова "Теплоэнерго"</v>
      </c>
      <c r="G6" s="2053"/>
      <c r="H6" s="2053"/>
      <c r="I6" s="2053"/>
      <c r="J6" s="2053"/>
    </row>
    <row customHeight="1" ht="11.25">
      <c r="E7" s="1178"/>
      <c r="F7" s="1245"/>
      <c r="G7" s="1245"/>
      <c r="H7" s="1245"/>
      <c r="I7" s="1245"/>
      <c r="J7" s="1245"/>
      <c r="K7" s="1165"/>
      <c r="L7" s="1165"/>
      <c r="M7" s="1165"/>
      <c r="N7" s="1165"/>
      <c r="O7" s="1165"/>
      <c r="P7" s="1165"/>
      <c r="Q7" s="1165"/>
      <c r="R7" s="1165"/>
      <c r="S7" s="1165"/>
      <c r="T7" s="1165"/>
      <c r="U7" s="1165"/>
      <c r="V7" s="1165"/>
    </row>
    <row s="2612" customFormat="1" customHeight="1" ht="5.25">
      <c r="A8" s="1175"/>
      <c r="B8" s="1175"/>
      <c r="C8" s="1175"/>
      <c r="E8" s="1246"/>
      <c r="F8" s="1247"/>
      <c r="G8" s="1247"/>
      <c r="H8" s="1247"/>
      <c r="I8" s="1247"/>
      <c r="J8" s="1247"/>
      <c r="K8" s="1246"/>
      <c r="L8" s="1246"/>
      <c r="M8" s="1246"/>
      <c r="N8" s="1246"/>
      <c r="O8" s="1246"/>
      <c r="P8" s="1246"/>
      <c r="Q8" s="1246"/>
      <c r="R8" s="1246"/>
      <c r="S8" s="1246"/>
      <c r="T8" s="1246"/>
      <c r="U8" s="1246"/>
      <c r="V8" s="1246"/>
    </row>
    <row customHeight="1" ht="10.5">
      <c r="E9" s="1178"/>
      <c r="F9" s="2258" t="s">
        <v>291</v>
      </c>
      <c r="G9" s="2259"/>
      <c r="H9" s="2259"/>
      <c r="I9" s="2259"/>
      <c r="J9" s="2259"/>
      <c r="K9" s="1258"/>
      <c r="L9" s="1165"/>
      <c r="M9" s="1165"/>
      <c r="N9" s="1165"/>
      <c r="O9" s="1165"/>
      <c r="P9" s="1165"/>
      <c r="Q9" s="1165"/>
      <c r="R9" s="1165"/>
      <c r="S9" s="1165"/>
      <c r="T9" s="1165"/>
      <c r="U9" s="1165"/>
      <c r="V9" s="1165"/>
    </row>
    <row customHeight="1" ht="24">
      <c r="E10" s="1165"/>
      <c r="F10" s="2262" t="s">
        <v>87</v>
      </c>
      <c r="G10" s="2267" t="s">
        <v>917</v>
      </c>
      <c r="H10" s="2265" t="s">
        <v>918</v>
      </c>
      <c r="I10" s="2265"/>
      <c r="J10" s="2265"/>
      <c r="K10" s="1251"/>
      <c r="L10" s="1165"/>
      <c r="M10" s="1165"/>
      <c r="N10" s="1165"/>
      <c r="O10" s="1165"/>
      <c r="P10" s="1165"/>
      <c r="Q10" s="1165"/>
      <c r="R10" s="1165"/>
      <c r="S10" s="1165"/>
      <c r="T10" s="1165"/>
      <c r="U10" s="1165"/>
      <c r="V10" s="1165"/>
    </row>
    <row customHeight="1" ht="24">
      <c r="E11" s="1165"/>
      <c r="F11" s="2263"/>
      <c r="G11" s="2267"/>
      <c r="H11" s="2266">
        <f>INDEX(IP_MAIN_LIST_NAME_IP,MATCH(H8,IP_MAIN_LIST_IP_ID,0))&amp;" ("&amp;INDEX(IP_MAIN_START_DATE,MATCH(H8,IP_MAIN_LIST_IP_ID,0))&amp;"-"&amp;INDEX(IP_MAIN_END_DATE,MATCH(H8,IP_MAIN_LIST_IP_ID,0))&amp;")"</f>
      </c>
      <c r="I11" s="2266"/>
      <c r="J11" s="2266"/>
      <c r="K11" s="1251"/>
      <c r="L11" s="1165"/>
      <c r="M11" s="1165"/>
      <c r="N11" s="1165"/>
      <c r="O11" s="1165"/>
      <c r="P11" s="1165"/>
      <c r="Q11" s="1165"/>
      <c r="R11" s="1165"/>
      <c r="S11" s="1165"/>
      <c r="T11" s="1165"/>
      <c r="U11" s="1165"/>
      <c r="V11" s="1165"/>
    </row>
    <row customHeight="1" ht="10.5">
      <c r="F12" s="2264"/>
      <c r="G12" s="2267"/>
      <c r="H12" s="1244" t="s">
        <v>919</v>
      </c>
      <c r="I12" s="1250"/>
      <c r="J12" s="1244"/>
      <c r="K12" s="1252"/>
    </row>
    <row customHeight="1" ht="10.5" hidden="1">
      <c r="F13" s="1244">
        <v>1</v>
      </c>
      <c r="G13" s="1244">
        <v>2</v>
      </c>
      <c r="H13" s="1244">
        <v>3</v>
      </c>
      <c r="I13" s="1244">
        <v>4</v>
      </c>
      <c r="J13" s="1244">
        <v>5</v>
      </c>
      <c r="K13" s="1252"/>
    </row>
    <row customHeight="1" ht="11.25">
      <c r="F14" s="1243" t="s">
        <v>920</v>
      </c>
      <c r="G14" s="2260" t="s">
        <v>921</v>
      </c>
      <c r="H14" s="2260"/>
      <c r="I14" s="2260"/>
      <c r="J14" s="2260"/>
      <c r="K14" s="1252"/>
    </row>
    <row customHeight="1" ht="11.25">
      <c r="F15" s="1248">
        <v>1</v>
      </c>
      <c r="G15" s="696" t="s">
        <v>922</v>
      </c>
      <c r="H15" s="1254">
        <f>SUM(I15:J15)</f>
        <v>0</v>
      </c>
      <c r="I15" s="1254">
        <f>SUM(I16:I27)</f>
        <v>0</v>
      </c>
      <c r="J15" s="1243"/>
      <c r="K15" s="1252"/>
    </row>
    <row customHeight="1" ht="22.5">
      <c r="F16" s="1248" t="s">
        <v>923</v>
      </c>
      <c r="G16" s="1255" t="s">
        <v>924</v>
      </c>
      <c r="H16" s="1254">
        <f>SUM(I16:J16)</f>
        <v>0</v>
      </c>
      <c r="I16" s="1253"/>
      <c r="J16" s="1243"/>
      <c r="K16" s="1252"/>
    </row>
    <row customHeight="1" ht="22.5">
      <c r="F17" s="1248" t="s">
        <v>925</v>
      </c>
      <c r="G17" s="1255" t="s">
        <v>926</v>
      </c>
      <c r="H17" s="1254">
        <f>SUM(I17:J17)</f>
        <v>0</v>
      </c>
      <c r="I17" s="1253"/>
      <c r="J17" s="1243"/>
      <c r="K17" s="1252"/>
    </row>
    <row customHeight="1" ht="33.75">
      <c r="F18" s="1248" t="s">
        <v>927</v>
      </c>
      <c r="G18" s="1255" t="s">
        <v>928</v>
      </c>
      <c r="H18" s="1254">
        <f>SUM(I18:J18)</f>
        <v>0</v>
      </c>
      <c r="I18" s="1253"/>
      <c r="J18" s="1243"/>
      <c r="K18" s="1252"/>
    </row>
    <row customHeight="1" ht="33.75">
      <c r="F19" s="1248" t="s">
        <v>929</v>
      </c>
      <c r="G19" s="1255" t="s">
        <v>930</v>
      </c>
      <c r="H19" s="1254">
        <f>SUM(I19:J19)</f>
        <v>0</v>
      </c>
      <c r="I19" s="1253"/>
      <c r="J19" s="1243"/>
      <c r="K19" s="1252"/>
    </row>
    <row customHeight="1" ht="45">
      <c r="F20" s="1248" t="s">
        <v>931</v>
      </c>
      <c r="G20" s="1255" t="s">
        <v>932</v>
      </c>
      <c r="H20" s="1254">
        <f>SUM(I20:J20)</f>
        <v>0</v>
      </c>
      <c r="I20" s="1253"/>
      <c r="J20" s="1243"/>
      <c r="K20" s="1252"/>
    </row>
    <row customHeight="1" ht="33.75">
      <c r="F21" s="1248" t="s">
        <v>933</v>
      </c>
      <c r="G21" s="1255" t="s">
        <v>934</v>
      </c>
      <c r="H21" s="1254">
        <f>SUM(I21:J21)</f>
        <v>0</v>
      </c>
      <c r="I21" s="1253"/>
      <c r="J21" s="1243"/>
      <c r="K21" s="1252"/>
    </row>
    <row customHeight="1" ht="33.75">
      <c r="F22" s="1248" t="s">
        <v>935</v>
      </c>
      <c r="G22" s="1255" t="s">
        <v>936</v>
      </c>
      <c r="H22" s="1254">
        <f>SUM(I22:J22)</f>
        <v>0</v>
      </c>
      <c r="I22" s="1253"/>
      <c r="J22" s="1243"/>
      <c r="K22" s="1252"/>
    </row>
    <row customHeight="1" ht="22.5">
      <c r="F23" s="1248" t="s">
        <v>937</v>
      </c>
      <c r="G23" s="1255" t="s">
        <v>938</v>
      </c>
      <c r="H23" s="1254">
        <f>SUM(I23:J23)</f>
        <v>0</v>
      </c>
      <c r="I23" s="1253"/>
      <c r="J23" s="1243"/>
      <c r="K23" s="1252"/>
    </row>
    <row customHeight="1" ht="22.5">
      <c r="F24" s="1248" t="s">
        <v>939</v>
      </c>
      <c r="G24" s="1255" t="s">
        <v>940</v>
      </c>
      <c r="H24" s="1254">
        <f>SUM(I24:J24)</f>
        <v>0</v>
      </c>
      <c r="I24" s="1253"/>
      <c r="J24" s="1243"/>
      <c r="K24" s="1252"/>
    </row>
    <row customHeight="1" ht="33.75">
      <c r="F25" s="1248" t="s">
        <v>941</v>
      </c>
      <c r="G25" s="1255" t="s">
        <v>942</v>
      </c>
      <c r="H25" s="1254">
        <f>SUM(I25:J25)</f>
        <v>0</v>
      </c>
      <c r="I25" s="1253"/>
      <c r="J25" s="1243"/>
      <c r="K25" s="1252"/>
    </row>
    <row customHeight="1" ht="33.75">
      <c r="F26" s="1248" t="s">
        <v>943</v>
      </c>
      <c r="G26" s="1255" t="s">
        <v>944</v>
      </c>
      <c r="H26" s="1254">
        <f>SUM(I26:J26)</f>
        <v>0</v>
      </c>
      <c r="I26" s="1253"/>
      <c r="J26" s="1243"/>
      <c r="K26" s="1252"/>
    </row>
    <row customHeight="1" ht="11.25">
      <c r="F27" s="1248" t="s">
        <v>945</v>
      </c>
      <c r="G27" s="1255" t="s">
        <v>946</v>
      </c>
      <c r="H27" s="1254">
        <f>SUM(I27:J27)</f>
        <v>0</v>
      </c>
      <c r="I27" s="1253"/>
      <c r="J27" s="1243"/>
      <c r="K27" s="1252"/>
    </row>
    <row customHeight="1" ht="11.25">
      <c r="F28" s="1248">
        <v>2</v>
      </c>
      <c r="G28" s="696" t="s">
        <v>947</v>
      </c>
      <c r="H28" s="1254">
        <f>SUM(I28:J28)</f>
        <v>0</v>
      </c>
      <c r="I28" s="1254">
        <f>SUM(I29:I31)</f>
        <v>0</v>
      </c>
      <c r="J28" s="1243"/>
      <c r="K28" s="1252"/>
    </row>
    <row customHeight="1" ht="11.25">
      <c r="F29" s="1248" t="s">
        <v>609</v>
      </c>
      <c r="G29" s="1255" t="s">
        <v>948</v>
      </c>
      <c r="H29" s="1254">
        <f>SUM(I29:J29)</f>
        <v>0</v>
      </c>
      <c r="I29" s="1253"/>
      <c r="J29" s="1243"/>
      <c r="K29" s="1252"/>
    </row>
    <row customHeight="1" ht="11.25">
      <c r="F30" s="1248" t="s">
        <v>298</v>
      </c>
      <c r="G30" s="1255" t="s">
        <v>949</v>
      </c>
      <c r="H30" s="1254">
        <f>SUM(I30:J30)</f>
        <v>0</v>
      </c>
      <c r="I30" s="1253"/>
      <c r="J30" s="1243"/>
      <c r="K30" s="1252"/>
    </row>
    <row customHeight="1" ht="11.25">
      <c r="F31" s="1248" t="s">
        <v>301</v>
      </c>
      <c r="G31" s="1255" t="s">
        <v>950</v>
      </c>
      <c r="H31" s="1254">
        <f>SUM(I31:J31)</f>
        <v>0</v>
      </c>
      <c r="I31" s="1253"/>
      <c r="J31" s="1243"/>
      <c r="K31" s="1252"/>
    </row>
    <row customHeight="1" ht="11.25">
      <c r="F32" s="1248">
        <v>3</v>
      </c>
      <c r="G32" s="696" t="s">
        <v>951</v>
      </c>
      <c r="H32" s="1254">
        <f>SUM(I32:J32)</f>
        <v>0</v>
      </c>
      <c r="I32" s="1254">
        <f>SUM(I33:I34)</f>
        <v>0</v>
      </c>
      <c r="J32" s="1243"/>
      <c r="K32" s="1252"/>
    </row>
    <row customHeight="1" ht="33.75">
      <c r="F33" s="1248" t="s">
        <v>317</v>
      </c>
      <c r="G33" s="1255" t="s">
        <v>952</v>
      </c>
      <c r="H33" s="1254">
        <f>SUM(I33:J33)</f>
        <v>0</v>
      </c>
      <c r="I33" s="1253"/>
      <c r="J33" s="1243"/>
      <c r="K33" s="1252"/>
    </row>
    <row customHeight="1" ht="11.25">
      <c r="F34" s="1248" t="s">
        <v>325</v>
      </c>
      <c r="G34" s="1255" t="s">
        <v>953</v>
      </c>
      <c r="H34" s="1254">
        <f>SUM(I34:J34)</f>
        <v>0</v>
      </c>
      <c r="I34" s="1253"/>
      <c r="J34" s="1243"/>
      <c r="K34" s="1252"/>
    </row>
    <row customHeight="1" ht="11.25">
      <c r="F35" s="1248">
        <v>4</v>
      </c>
      <c r="G35" s="696" t="s">
        <v>954</v>
      </c>
      <c r="H35" s="1254">
        <f>SUM(I35:J35)</f>
        <v>0</v>
      </c>
      <c r="I35" s="1253"/>
      <c r="J35" s="1243"/>
      <c r="K35" s="1252"/>
    </row>
    <row customHeight="1" ht="11.25">
      <c r="F36" s="1248"/>
      <c r="G36" s="699" t="s">
        <v>955</v>
      </c>
      <c r="H36" s="1254">
        <f>SUM(I36:J36)</f>
        <v>0</v>
      </c>
      <c r="I36" s="1254">
        <f>SUM(I15,I28,I32,I35)</f>
        <v>0</v>
      </c>
      <c r="J36" s="1243"/>
      <c r="K36" s="1252"/>
    </row>
    <row customHeight="1" ht="27.75">
      <c r="F37" s="1249" t="s">
        <v>956</v>
      </c>
      <c r="G37" s="2261" t="s">
        <v>957</v>
      </c>
      <c r="H37" s="2261"/>
      <c r="I37" s="2261"/>
      <c r="J37" s="2261"/>
      <c r="K37" s="1252"/>
    </row>
    <row customHeight="1" ht="22.5">
      <c r="F38" s="1248" t="s">
        <v>108</v>
      </c>
      <c r="G38" s="696" t="s">
        <v>958</v>
      </c>
      <c r="H38" s="1254">
        <f>SUM(I38:J38)</f>
        <v>0</v>
      </c>
      <c r="I38" s="1254">
        <f>SUM(I39,I44,I47)</f>
        <v>0</v>
      </c>
      <c r="J38" s="1243"/>
      <c r="K38" s="1252"/>
    </row>
    <row customHeight="1" ht="11.25">
      <c r="F39" s="1248" t="s">
        <v>923</v>
      </c>
      <c r="G39" s="1255" t="s">
        <v>922</v>
      </c>
      <c r="H39" s="1254">
        <f>SUM(I39:J39)</f>
        <v>0</v>
      </c>
      <c r="I39" s="1254">
        <f>SUM(I40:I43)</f>
        <v>0</v>
      </c>
      <c r="J39" s="1243"/>
      <c r="K39" s="1252"/>
    </row>
    <row customHeight="1" ht="22.5">
      <c r="F40" s="1248" t="s">
        <v>959</v>
      </c>
      <c r="G40" s="1256" t="s">
        <v>960</v>
      </c>
      <c r="H40" s="1254">
        <f>SUM(I40:J40)</f>
        <v>0</v>
      </c>
      <c r="I40" s="1253"/>
      <c r="J40" s="1243"/>
      <c r="K40" s="1252"/>
    </row>
    <row customHeight="1" ht="11.25">
      <c r="F41" s="1248" t="s">
        <v>961</v>
      </c>
      <c r="G41" s="1256" t="s">
        <v>962</v>
      </c>
      <c r="H41" s="1254">
        <f>SUM(I41:J41)</f>
        <v>0</v>
      </c>
      <c r="I41" s="1253"/>
      <c r="J41" s="1243"/>
      <c r="K41" s="1252"/>
    </row>
    <row customHeight="1" ht="11.25">
      <c r="F42" s="1248" t="s">
        <v>963</v>
      </c>
      <c r="G42" s="1256" t="s">
        <v>964</v>
      </c>
      <c r="H42" s="1254">
        <f>SUM(I42:J42)</f>
        <v>0</v>
      </c>
      <c r="I42" s="1253"/>
      <c r="J42" s="1243"/>
      <c r="K42" s="1252"/>
    </row>
    <row customHeight="1" ht="33.75">
      <c r="F43" s="1248" t="s">
        <v>965</v>
      </c>
      <c r="G43" s="1256" t="s">
        <v>966</v>
      </c>
      <c r="H43" s="1254">
        <f>SUM(I43:J43)</f>
        <v>0</v>
      </c>
      <c r="I43" s="1253"/>
      <c r="J43" s="1243"/>
      <c r="K43" s="1252"/>
    </row>
    <row customHeight="1" ht="11.25">
      <c r="F44" s="1248" t="s">
        <v>925</v>
      </c>
      <c r="G44" s="1255" t="s">
        <v>951</v>
      </c>
      <c r="H44" s="1254">
        <f>SUM(I44:J44)</f>
        <v>0</v>
      </c>
      <c r="I44" s="1254">
        <f>SUM(I45:I46)</f>
        <v>0</v>
      </c>
      <c r="J44" s="1243"/>
      <c r="K44" s="1252"/>
    </row>
    <row customHeight="1" ht="45">
      <c r="F45" s="1248" t="s">
        <v>967</v>
      </c>
      <c r="G45" s="1256" t="s">
        <v>952</v>
      </c>
      <c r="H45" s="1254">
        <f>SUM(I45:J45)</f>
        <v>0</v>
      </c>
      <c r="I45" s="1253"/>
      <c r="J45" s="1243"/>
      <c r="K45" s="1252"/>
    </row>
    <row customHeight="1" ht="11.25">
      <c r="F46" s="1248" t="s">
        <v>968</v>
      </c>
      <c r="G46" s="1256" t="s">
        <v>953</v>
      </c>
      <c r="H46" s="1254">
        <f>SUM(I46:J46)</f>
        <v>0</v>
      </c>
      <c r="I46" s="1253"/>
      <c r="J46" s="1243"/>
      <c r="K46" s="1252"/>
    </row>
    <row customHeight="1" ht="11.25">
      <c r="F47" s="1248" t="s">
        <v>927</v>
      </c>
      <c r="G47" s="1255" t="s">
        <v>969</v>
      </c>
      <c r="H47" s="1254">
        <f>SUM(I47:J47)</f>
        <v>0</v>
      </c>
      <c r="I47" s="1253"/>
      <c r="J47" s="1243"/>
      <c r="K47" s="1252"/>
    </row>
    <row customHeight="1" ht="22.5">
      <c r="F48" s="1248" t="s">
        <v>109</v>
      </c>
      <c r="G48" s="696" t="s">
        <v>970</v>
      </c>
      <c r="H48" s="1254">
        <f>SUM(I48:J48)</f>
        <v>0</v>
      </c>
      <c r="I48" s="1254">
        <f>SUM(I49,I54,I57)</f>
        <v>0</v>
      </c>
      <c r="J48" s="1243"/>
      <c r="K48" s="1252"/>
    </row>
    <row customHeight="1" ht="11.25">
      <c r="F49" s="1248" t="s">
        <v>609</v>
      </c>
      <c r="G49" s="1255" t="s">
        <v>922</v>
      </c>
      <c r="H49" s="1254">
        <f>SUM(I49:J49)</f>
        <v>0</v>
      </c>
      <c r="I49" s="1254">
        <f>SUM(I50:I53)</f>
        <v>0</v>
      </c>
      <c r="J49" s="1243"/>
      <c r="K49" s="1252"/>
    </row>
    <row customHeight="1" ht="22.5">
      <c r="F50" s="1248" t="s">
        <v>612</v>
      </c>
      <c r="G50" s="1256" t="s">
        <v>960</v>
      </c>
      <c r="H50" s="1254">
        <f>SUM(I50:J50)</f>
        <v>0</v>
      </c>
      <c r="I50" s="1253"/>
      <c r="J50" s="1243"/>
      <c r="K50" s="1252"/>
    </row>
    <row customHeight="1" ht="11.25">
      <c r="F51" s="1248" t="s">
        <v>615</v>
      </c>
      <c r="G51" s="1256" t="s">
        <v>962</v>
      </c>
      <c r="H51" s="1254">
        <f>SUM(I51:J51)</f>
        <v>0</v>
      </c>
      <c r="I51" s="1253"/>
      <c r="J51" s="1243"/>
      <c r="K51" s="1252"/>
    </row>
    <row customHeight="1" ht="11.25">
      <c r="F52" s="1248" t="s">
        <v>971</v>
      </c>
      <c r="G52" s="1256" t="s">
        <v>964</v>
      </c>
      <c r="H52" s="1254">
        <f>SUM(I52:J52)</f>
        <v>0</v>
      </c>
      <c r="I52" s="1253"/>
      <c r="J52" s="1243"/>
      <c r="K52" s="1252"/>
    </row>
    <row customHeight="1" ht="33.75">
      <c r="F53" s="1248" t="s">
        <v>972</v>
      </c>
      <c r="G53" s="1256" t="s">
        <v>966</v>
      </c>
      <c r="H53" s="1254">
        <f>SUM(I53:J53)</f>
        <v>0</v>
      </c>
      <c r="I53" s="1253"/>
      <c r="J53" s="1243"/>
      <c r="K53" s="1252"/>
    </row>
    <row customHeight="1" ht="11.25">
      <c r="F54" s="1248" t="s">
        <v>298</v>
      </c>
      <c r="G54" s="1255" t="s">
        <v>951</v>
      </c>
      <c r="H54" s="1254">
        <f>SUM(I54:J54)</f>
        <v>0</v>
      </c>
      <c r="I54" s="1254">
        <f>SUM(I55:I56)</f>
        <v>0</v>
      </c>
      <c r="J54" s="1243"/>
      <c r="K54" s="1252"/>
    </row>
    <row customHeight="1" ht="45">
      <c r="F55" s="1248" t="s">
        <v>619</v>
      </c>
      <c r="G55" s="1256" t="s">
        <v>952</v>
      </c>
      <c r="H55" s="1254">
        <f>SUM(I55:J55)</f>
        <v>0</v>
      </c>
      <c r="I55" s="1253"/>
      <c r="J55" s="1243"/>
      <c r="K55" s="1252"/>
    </row>
    <row customHeight="1" ht="11.25">
      <c r="F56" s="1248" t="s">
        <v>621</v>
      </c>
      <c r="G56" s="1256" t="s">
        <v>953</v>
      </c>
      <c r="H56" s="1254">
        <f>SUM(I56:J56)</f>
        <v>0</v>
      </c>
      <c r="I56" s="1253"/>
      <c r="J56" s="1243"/>
      <c r="K56" s="1252"/>
    </row>
    <row customHeight="1" ht="11.25">
      <c r="F57" s="1248" t="s">
        <v>301</v>
      </c>
      <c r="G57" s="1255" t="s">
        <v>969</v>
      </c>
      <c r="H57" s="1254">
        <f>SUM(I57:J57)</f>
        <v>0</v>
      </c>
      <c r="I57" s="1253"/>
      <c r="J57" s="1243"/>
      <c r="K57" s="1252"/>
    </row>
    <row customHeight="1" ht="11.25">
      <c r="F58" s="1248"/>
      <c r="G58" s="1257" t="s">
        <v>955</v>
      </c>
      <c r="H58" s="1254">
        <f>SUM(I58:J58)</f>
        <v>0</v>
      </c>
      <c r="I58" s="1254">
        <f>SUM(I38,I48)</f>
        <v>0</v>
      </c>
      <c r="J58" s="1243"/>
      <c r="K58" s="1252"/>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5F5EA8-2BB8-D8F8-00B5-B2693F9142FB}" mc:Ignorable="x14ac xr xr2 xr3">
  <sheetPr>
    <tabColor theme="9" tint="-0.25"/>
  </sheetPr>
  <dimension ref="A1:GB24"/>
  <sheetViews>
    <sheetView topLeftCell="A1" showGridLines="0" zoomScale="90" workbookViewId="0">
      <selection activeCell="A1" sqref="A1"/>
    </sheetView>
  </sheetViews>
  <sheetFormatPr defaultColWidth="9.140625" customHeight="1" defaultRowHeight="12"/>
  <cols>
    <col min="1" max="1" style="4519" width="4.7109375" hidden="1" customWidth="1"/>
    <col min="2" max="2" style="4520" width="4.7109375" hidden="1" customWidth="1"/>
    <col min="3" max="4" style="4519" width="4.7109375" hidden="1" customWidth="1"/>
    <col min="5" max="5" style="4519" width="3.57421875" customWidth="1"/>
    <col min="6" max="6" style="4519" width="6.7109375" customWidth="1"/>
    <col min="7" max="7" style="4519" width="18.7109375" customWidth="1"/>
    <col min="8" max="8" style="4519" width="27.28125" customWidth="1"/>
    <col min="9" max="9" style="4519" width="18.7109375" customWidth="1"/>
    <col min="10" max="14" style="4519" width="0.8515625" hidden="1" customWidth="1"/>
    <col min="15" max="28" style="4519" width="21.7109375" customWidth="1"/>
    <col min="29" max="71" style="4519" width="0.8515625" customWidth="1"/>
    <col min="72" max="79" style="4519" width="21.7109375" hidden="1" customWidth="1"/>
    <col min="80" max="81" style="4519" width="29.140625" hidden="1" customWidth="1"/>
    <col min="82" max="89" style="4519" width="21.7109375" hidden="1" customWidth="1"/>
    <col min="90" max="102" style="4519" width="0.7109375" hidden="1" customWidth="1"/>
    <col min="103" max="114" style="4519" width="21.7109375" hidden="1" customWidth="1"/>
    <col min="115" max="178" style="4519" width="0.7109375" hidden="1" customWidth="1"/>
    <col min="179" max="179" style="4519" width="0.140625" customWidth="1"/>
    <col min="180" max="184" style="4519" width="9.140625"/>
  </cols>
  <sheetData>
    <row s="4447" customFormat="1" customHeight="1" ht="12" hidden="1">
      <c r="B1" s="929"/>
      <c r="C1" s="930"/>
      <c r="D1" s="930"/>
    </row>
    <row s="4447" customFormat="1" customHeight="1" ht="12" hidden="1">
      <c r="B2" s="929"/>
      <c r="C2" s="930"/>
      <c r="D2" s="930"/>
      <c r="E2" s="930"/>
      <c r="F2" s="930"/>
      <c r="G2" s="930"/>
      <c r="H2" s="930"/>
      <c r="I2" s="930"/>
      <c r="J2" s="930"/>
      <c r="K2" s="930"/>
      <c r="L2" s="930"/>
      <c r="M2" s="930"/>
      <c r="N2" s="930"/>
      <c r="O2" s="930"/>
      <c r="P2" s="930"/>
      <c r="Q2" s="930"/>
      <c r="R2" s="930"/>
      <c r="S2" s="930"/>
      <c r="T2" s="930"/>
      <c r="U2" s="930"/>
      <c r="V2" s="930"/>
      <c r="W2" s="930"/>
      <c r="X2" s="930"/>
      <c r="Y2" s="930"/>
      <c r="Z2" s="930"/>
      <c r="AA2" s="930"/>
      <c r="AB2" s="931"/>
      <c r="AC2" s="930"/>
      <c r="AD2" s="930"/>
      <c r="AE2" s="930"/>
      <c r="AF2" s="930"/>
      <c r="AG2" s="930"/>
      <c r="AH2" s="930"/>
      <c r="AI2" s="930"/>
      <c r="AJ2" s="930"/>
      <c r="AK2" s="930"/>
      <c r="AL2" s="930"/>
      <c r="AM2" s="930"/>
      <c r="AN2" s="930"/>
      <c r="AO2" s="930"/>
      <c r="AP2" s="930"/>
      <c r="AQ2" s="930"/>
      <c r="AR2" s="930"/>
      <c r="AS2" s="930"/>
      <c r="AT2" s="930"/>
      <c r="AU2" s="930"/>
      <c r="AV2" s="930"/>
      <c r="AW2" s="930"/>
      <c r="AX2" s="930"/>
      <c r="AY2" s="930"/>
      <c r="AZ2" s="930"/>
      <c r="BA2" s="930"/>
      <c r="BB2" s="930"/>
      <c r="BC2" s="930"/>
      <c r="BD2" s="930"/>
      <c r="BE2" s="930"/>
      <c r="BF2" s="930"/>
      <c r="BG2" s="930"/>
      <c r="BH2" s="930"/>
      <c r="BI2" s="930"/>
      <c r="BJ2" s="930"/>
      <c r="BK2" s="930"/>
      <c r="BL2" s="930"/>
      <c r="BM2" s="930"/>
      <c r="BN2" s="930"/>
      <c r="BO2" s="930"/>
      <c r="BP2" s="930"/>
      <c r="BQ2" s="930"/>
      <c r="BR2" s="930"/>
      <c r="BS2" s="930"/>
      <c r="BT2" s="930"/>
      <c r="BU2" s="930"/>
      <c r="BV2" s="930"/>
      <c r="BW2" s="930"/>
      <c r="BX2" s="930"/>
      <c r="BY2" s="930"/>
      <c r="BZ2" s="930"/>
      <c r="CA2" s="930"/>
      <c r="CB2" s="930"/>
      <c r="CC2" s="930"/>
      <c r="CD2" s="930"/>
      <c r="CE2" s="930"/>
      <c r="CF2" s="930"/>
      <c r="CG2" s="930"/>
      <c r="CH2" s="930"/>
      <c r="CI2" s="930"/>
      <c r="CJ2" s="930"/>
      <c r="CK2" s="930"/>
      <c r="CL2" s="930"/>
      <c r="CM2" s="930"/>
      <c r="CN2" s="930"/>
      <c r="CO2" s="930"/>
      <c r="CP2" s="930"/>
      <c r="CQ2" s="930"/>
      <c r="CR2" s="930"/>
      <c r="CS2" s="930"/>
      <c r="CT2" s="930"/>
      <c r="CU2" s="930"/>
      <c r="CV2" s="930"/>
      <c r="CW2" s="930"/>
      <c r="CX2" s="930"/>
      <c r="CY2" s="930"/>
      <c r="CZ2" s="930"/>
      <c r="DA2" s="930"/>
      <c r="DB2" s="930"/>
      <c r="DC2" s="930"/>
      <c r="DD2" s="930"/>
      <c r="DE2" s="930"/>
      <c r="DF2" s="930"/>
      <c r="DG2" s="930"/>
      <c r="DH2" s="930"/>
      <c r="DI2" s="930"/>
      <c r="DJ2" s="930"/>
      <c r="DK2" s="930"/>
      <c r="DL2" s="930"/>
      <c r="DM2" s="930"/>
      <c r="DN2" s="930"/>
      <c r="DO2" s="930"/>
      <c r="DP2" s="930"/>
      <c r="DQ2" s="930"/>
      <c r="DR2" s="930"/>
      <c r="DS2" s="930"/>
      <c r="DT2" s="930"/>
      <c r="DU2" s="930"/>
      <c r="DV2" s="930"/>
      <c r="DW2" s="930"/>
      <c r="DX2" s="930"/>
      <c r="DY2" s="930"/>
      <c r="DZ2" s="930"/>
      <c r="EA2" s="930"/>
      <c r="EB2" s="930"/>
      <c r="EC2" s="930"/>
      <c r="ED2" s="930"/>
      <c r="EE2" s="930"/>
      <c r="EF2" s="930"/>
      <c r="EG2" s="930"/>
      <c r="EH2" s="930"/>
      <c r="EI2" s="930"/>
      <c r="EJ2" s="930"/>
      <c r="EK2" s="930"/>
      <c r="EL2" s="930"/>
      <c r="EM2" s="930"/>
      <c r="EN2" s="930"/>
      <c r="EO2" s="930"/>
      <c r="EP2" s="930"/>
      <c r="EQ2" s="930"/>
      <c r="ER2" s="930"/>
      <c r="ES2" s="930"/>
      <c r="ET2" s="930"/>
      <c r="EU2" s="930"/>
      <c r="EV2" s="930"/>
      <c r="EW2" s="930"/>
      <c r="EX2" s="930"/>
      <c r="EY2" s="930"/>
      <c r="EZ2" s="930"/>
      <c r="FA2" s="930"/>
      <c r="FB2" s="930"/>
      <c r="FC2" s="930"/>
      <c r="FD2" s="930"/>
      <c r="FE2" s="930"/>
      <c r="FF2" s="930"/>
      <c r="FG2" s="930"/>
      <c r="FH2" s="930"/>
      <c r="FI2" s="930"/>
      <c r="FJ2" s="930"/>
      <c r="FK2" s="930"/>
      <c r="FL2" s="930"/>
      <c r="FM2" s="930"/>
      <c r="FN2" s="930"/>
      <c r="FO2" s="930"/>
      <c r="FP2" s="930"/>
      <c r="FQ2" s="930"/>
      <c r="FR2" s="930"/>
      <c r="FS2" s="930"/>
      <c r="FT2" s="930"/>
      <c r="FU2" s="930"/>
      <c r="FV2" s="930"/>
      <c r="FW2" s="930"/>
    </row>
    <row s="4447" customFormat="1" customHeight="1" ht="12" hidden="1">
      <c r="B3" s="929"/>
      <c r="C3" s="930"/>
      <c r="D3" s="930"/>
      <c r="E3" s="930"/>
      <c r="F3" s="930"/>
      <c r="G3" s="930"/>
      <c r="H3" s="930"/>
      <c r="I3" s="930"/>
      <c r="J3" s="930"/>
      <c r="K3" s="930"/>
      <c r="L3" s="930"/>
      <c r="M3" s="930"/>
      <c r="N3" s="930"/>
      <c r="O3" s="930"/>
      <c r="P3" s="930"/>
      <c r="Q3" s="930"/>
      <c r="R3" s="930"/>
      <c r="S3" s="930"/>
      <c r="T3" s="930"/>
      <c r="U3" s="930"/>
      <c r="V3" s="930"/>
      <c r="W3" s="930"/>
      <c r="X3" s="930"/>
      <c r="Y3" s="930"/>
      <c r="Z3" s="930"/>
      <c r="AA3" s="930"/>
      <c r="AB3" s="931"/>
      <c r="AC3" s="930"/>
      <c r="AD3" s="930"/>
      <c r="AE3" s="930"/>
      <c r="AF3" s="930"/>
      <c r="AG3" s="930"/>
      <c r="AH3" s="930"/>
      <c r="AI3" s="930"/>
      <c r="AJ3" s="930"/>
      <c r="AK3" s="930"/>
      <c r="AL3" s="930"/>
      <c r="AM3" s="930"/>
      <c r="AN3" s="930"/>
      <c r="AO3" s="930"/>
      <c r="AP3" s="930"/>
      <c r="AQ3" s="930"/>
      <c r="AR3" s="930"/>
      <c r="AS3" s="930"/>
      <c r="AT3" s="930"/>
      <c r="AU3" s="930"/>
      <c r="AV3" s="930"/>
      <c r="AW3" s="930"/>
      <c r="AX3" s="930"/>
      <c r="AY3" s="930"/>
      <c r="AZ3" s="930"/>
      <c r="BA3" s="930"/>
      <c r="BB3" s="930"/>
      <c r="BC3" s="930"/>
      <c r="BD3" s="930"/>
      <c r="BE3" s="930"/>
      <c r="BF3" s="930"/>
      <c r="BG3" s="930"/>
      <c r="BH3" s="930"/>
      <c r="BI3" s="930"/>
      <c r="BJ3" s="930"/>
      <c r="BK3" s="930"/>
      <c r="BL3" s="930"/>
      <c r="BM3" s="930"/>
      <c r="BN3" s="930"/>
      <c r="BO3" s="930"/>
      <c r="BP3" s="930"/>
      <c r="BQ3" s="930"/>
      <c r="BR3" s="930"/>
      <c r="BS3" s="930"/>
      <c r="BT3" s="930"/>
      <c r="BU3" s="930"/>
      <c r="BV3" s="930"/>
      <c r="BW3" s="930"/>
      <c r="BX3" s="930"/>
      <c r="BY3" s="930"/>
      <c r="BZ3" s="930"/>
      <c r="CA3" s="930"/>
      <c r="CB3" s="930"/>
      <c r="CC3" s="930"/>
      <c r="CD3" s="930"/>
      <c r="CE3" s="930"/>
      <c r="CF3" s="930"/>
      <c r="CG3" s="930"/>
      <c r="CH3" s="930"/>
      <c r="CI3" s="930"/>
      <c r="CJ3" s="930"/>
      <c r="CK3" s="930"/>
      <c r="CL3" s="930"/>
      <c r="CM3" s="930"/>
      <c r="CN3" s="930"/>
      <c r="CO3" s="930"/>
      <c r="CP3" s="930"/>
      <c r="CQ3" s="930"/>
      <c r="CR3" s="930"/>
      <c r="CS3" s="930"/>
      <c r="CT3" s="930"/>
      <c r="CU3" s="930"/>
      <c r="CV3" s="930"/>
      <c r="CW3" s="930"/>
      <c r="CX3" s="930"/>
      <c r="CY3" s="930"/>
      <c r="CZ3" s="930"/>
      <c r="DA3" s="930"/>
      <c r="DB3" s="930"/>
      <c r="DC3" s="930"/>
      <c r="DD3" s="930"/>
      <c r="DE3" s="930"/>
      <c r="DF3" s="930"/>
      <c r="DG3" s="930"/>
      <c r="DH3" s="930"/>
      <c r="DI3" s="930"/>
      <c r="DJ3" s="930"/>
      <c r="DK3" s="930"/>
      <c r="DL3" s="930"/>
      <c r="DM3" s="930"/>
      <c r="DN3" s="930"/>
      <c r="DO3" s="930"/>
      <c r="DP3" s="930"/>
      <c r="DQ3" s="930"/>
      <c r="DR3" s="930"/>
      <c r="DS3" s="930"/>
      <c r="DT3" s="930"/>
      <c r="DU3" s="930"/>
      <c r="DV3" s="930"/>
      <c r="DW3" s="930"/>
      <c r="DX3" s="930"/>
      <c r="DY3" s="930"/>
      <c r="DZ3" s="930"/>
      <c r="EA3" s="930"/>
      <c r="EB3" s="930"/>
      <c r="EC3" s="930"/>
      <c r="ED3" s="930"/>
      <c r="EE3" s="930"/>
      <c r="EF3" s="930"/>
      <c r="EG3" s="930"/>
      <c r="EH3" s="930"/>
      <c r="EI3" s="930"/>
      <c r="EJ3" s="930"/>
      <c r="EK3" s="930"/>
      <c r="EL3" s="930"/>
      <c r="EM3" s="930"/>
      <c r="EN3" s="930"/>
      <c r="EO3" s="930"/>
      <c r="EP3" s="930"/>
      <c r="EQ3" s="930"/>
      <c r="ER3" s="930"/>
      <c r="ES3" s="930"/>
      <c r="ET3" s="930"/>
      <c r="EU3" s="930"/>
      <c r="EV3" s="930"/>
      <c r="EW3" s="930"/>
      <c r="EX3" s="930"/>
      <c r="EY3" s="930"/>
      <c r="EZ3" s="930"/>
      <c r="FA3" s="930"/>
      <c r="FB3" s="930"/>
      <c r="FC3" s="930"/>
      <c r="FD3" s="930"/>
      <c r="FE3" s="930"/>
      <c r="FF3" s="930"/>
      <c r="FG3" s="930"/>
      <c r="FH3" s="930"/>
      <c r="FI3" s="930"/>
      <c r="FJ3" s="930"/>
      <c r="FK3" s="930"/>
      <c r="FL3" s="930"/>
      <c r="FM3" s="930"/>
      <c r="FN3" s="930"/>
      <c r="FO3" s="930"/>
      <c r="FP3" s="930"/>
      <c r="FQ3" s="930"/>
      <c r="FR3" s="930"/>
      <c r="FS3" s="930"/>
      <c r="FT3" s="930"/>
      <c r="FU3" s="930"/>
      <c r="FV3" s="930"/>
      <c r="FW3" s="930"/>
    </row>
    <row customHeight="1" ht="10.5">
      <c r="B4" s="933"/>
      <c r="C4" s="934"/>
      <c r="D4" s="934"/>
      <c r="E4" s="934"/>
      <c r="F4" s="934"/>
      <c r="G4" s="934"/>
      <c r="H4" s="935"/>
      <c r="I4" s="935"/>
      <c r="J4" s="935"/>
      <c r="K4" s="935"/>
      <c r="L4" s="935"/>
      <c r="M4" s="936"/>
      <c r="N4" s="936"/>
      <c r="O4" s="936"/>
      <c r="P4" s="936"/>
      <c r="Q4" s="936"/>
      <c r="R4" s="936"/>
      <c r="S4" s="936"/>
      <c r="T4" s="936"/>
      <c r="U4" s="936"/>
      <c r="V4" s="936"/>
      <c r="W4" s="936"/>
      <c r="X4" s="936"/>
      <c r="Y4" s="936"/>
      <c r="Z4" s="936"/>
      <c r="AA4" s="936"/>
      <c r="AB4" s="936"/>
      <c r="AC4" s="936"/>
      <c r="AD4" s="936"/>
      <c r="AE4" s="936"/>
      <c r="AF4" s="936"/>
      <c r="AG4" s="936"/>
      <c r="AH4" s="936"/>
      <c r="AI4" s="936"/>
      <c r="AJ4" s="936"/>
      <c r="AK4" s="936"/>
      <c r="AL4" s="936"/>
      <c r="AM4" s="936"/>
      <c r="AN4" s="936"/>
      <c r="AO4" s="936"/>
      <c r="AP4" s="936"/>
      <c r="AQ4" s="936"/>
      <c r="AR4" s="936"/>
      <c r="AS4" s="936"/>
      <c r="AT4" s="936"/>
      <c r="AU4" s="936"/>
      <c r="AV4" s="936"/>
      <c r="AW4" s="936"/>
      <c r="AX4" s="936"/>
      <c r="AY4" s="936"/>
      <c r="AZ4" s="936"/>
      <c r="BA4" s="936"/>
      <c r="BB4" s="936"/>
      <c r="BC4" s="936"/>
      <c r="BD4" s="936"/>
      <c r="BE4" s="936"/>
      <c r="BF4" s="936"/>
      <c r="BG4" s="936"/>
      <c r="BH4" s="936"/>
      <c r="BI4" s="936"/>
      <c r="BJ4" s="936"/>
      <c r="BK4" s="936"/>
      <c r="BL4" s="936"/>
      <c r="BM4" s="936"/>
      <c r="BN4" s="936"/>
      <c r="BO4" s="936"/>
      <c r="BP4" s="936"/>
      <c r="BQ4" s="936"/>
      <c r="BR4" s="936"/>
      <c r="BS4" s="936"/>
      <c r="BT4" s="936"/>
      <c r="BU4" s="936"/>
      <c r="BV4" s="936"/>
      <c r="BW4" s="936"/>
      <c r="BX4" s="936"/>
      <c r="BY4" s="936"/>
      <c r="BZ4" s="936"/>
      <c r="CA4" s="936"/>
      <c r="CB4" s="936"/>
      <c r="CC4" s="936"/>
      <c r="CD4" s="936"/>
      <c r="CE4" s="936"/>
      <c r="CF4" s="936"/>
      <c r="CG4" s="936"/>
      <c r="CH4" s="936"/>
      <c r="CI4" s="936"/>
      <c r="CJ4" s="936"/>
      <c r="CK4" s="936"/>
      <c r="CL4" s="936"/>
      <c r="CM4" s="936"/>
      <c r="CN4" s="936"/>
      <c r="CO4" s="936"/>
      <c r="CP4" s="936"/>
      <c r="CQ4" s="936"/>
      <c r="CR4" s="936"/>
      <c r="CS4" s="936"/>
      <c r="CT4" s="936"/>
      <c r="CU4" s="936"/>
      <c r="CV4" s="936"/>
      <c r="CW4" s="936"/>
      <c r="CX4" s="936"/>
      <c r="CY4" s="936"/>
      <c r="CZ4" s="936"/>
      <c r="DA4" s="936"/>
      <c r="DB4" s="936"/>
      <c r="DC4" s="936"/>
      <c r="DD4" s="936"/>
      <c r="DE4" s="936"/>
      <c r="DF4" s="936"/>
      <c r="DG4" s="936"/>
      <c r="DH4" s="936"/>
      <c r="DI4" s="936"/>
      <c r="DJ4" s="936"/>
      <c r="DK4" s="936"/>
      <c r="DL4" s="936"/>
      <c r="DM4" s="936"/>
      <c r="DN4" s="936"/>
      <c r="DO4" s="936"/>
      <c r="DP4" s="936"/>
      <c r="DQ4" s="936"/>
      <c r="DR4" s="936"/>
      <c r="DS4" s="936"/>
      <c r="DT4" s="936"/>
      <c r="DU4" s="936"/>
      <c r="DV4" s="936"/>
      <c r="DW4" s="936"/>
      <c r="DX4" s="936"/>
      <c r="DY4" s="936"/>
      <c r="DZ4" s="936"/>
      <c r="EA4" s="936"/>
      <c r="EB4" s="936"/>
      <c r="EC4" s="936"/>
      <c r="ED4" s="936"/>
      <c r="EE4" s="936"/>
      <c r="EF4" s="936"/>
      <c r="EG4" s="936"/>
      <c r="EH4" s="936"/>
      <c r="EI4" s="936"/>
      <c r="EJ4" s="936"/>
      <c r="EK4" s="936"/>
      <c r="EL4" s="936"/>
      <c r="EM4" s="936"/>
      <c r="EN4" s="936"/>
      <c r="EO4" s="936"/>
      <c r="EP4" s="936"/>
      <c r="EQ4" s="936"/>
      <c r="ER4" s="936"/>
      <c r="ES4" s="936"/>
      <c r="ET4" s="936"/>
      <c r="EU4" s="936"/>
      <c r="EV4" s="936"/>
      <c r="EW4" s="936"/>
      <c r="EX4" s="936"/>
      <c r="EY4" s="936"/>
      <c r="EZ4" s="936"/>
      <c r="FA4" s="936"/>
      <c r="FB4" s="936"/>
      <c r="FC4" s="936"/>
      <c r="FD4" s="936"/>
      <c r="FE4" s="936"/>
      <c r="FF4" s="936"/>
      <c r="FG4" s="936"/>
      <c r="FH4" s="936"/>
      <c r="FI4" s="936"/>
      <c r="FJ4" s="936"/>
      <c r="FK4" s="936"/>
      <c r="FL4" s="936"/>
      <c r="FM4" s="936"/>
      <c r="FN4" s="936"/>
      <c r="FO4" s="936"/>
      <c r="FP4" s="936"/>
      <c r="FQ4" s="936"/>
      <c r="FR4" s="936"/>
      <c r="FS4" s="936"/>
      <c r="FT4" s="936"/>
      <c r="FU4" s="936"/>
      <c r="FV4" s="936"/>
      <c r="FW4" s="936"/>
    </row>
    <row s="4455" customFormat="1" customHeight="1" ht="25.5">
      <c r="B5" s="1915"/>
      <c r="E5" s="1917"/>
      <c r="F5" s="2295" t="str">
        <f>IP_NAME_FORM&amp;"
Показатели качества, надежности и энергетической эффективности в сфере "&amp;TEMPLATE_SPHERE_RUS&amp;" на "&amp;TITLE_FIL_YEAR&amp;" год"</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 на  год</v>
      </c>
      <c r="G5" s="2015"/>
      <c r="H5" s="2015"/>
      <c r="I5" s="2015"/>
      <c r="J5" s="2015"/>
      <c r="K5" s="2015"/>
      <c r="L5" s="2015"/>
      <c r="M5" s="2015"/>
      <c r="N5" s="2015"/>
      <c r="O5" s="2015"/>
      <c r="P5" s="2015"/>
      <c r="Q5" s="2015"/>
      <c r="R5" s="2015"/>
      <c r="S5" s="2015"/>
      <c r="T5" s="2015"/>
      <c r="U5" s="2015"/>
      <c r="V5" s="2015"/>
      <c r="W5" s="2015"/>
      <c r="X5" s="2015"/>
      <c r="Y5" s="2015"/>
      <c r="Z5" s="2015"/>
      <c r="AA5" s="2015"/>
      <c r="AB5" s="2015"/>
      <c r="AC5" s="2015"/>
      <c r="AD5" s="2015"/>
      <c r="AE5" s="2015"/>
      <c r="AF5" s="2015"/>
      <c r="AG5" s="2015"/>
      <c r="AH5" s="2015"/>
      <c r="AI5" s="2015"/>
      <c r="AJ5" s="2015"/>
      <c r="AK5" s="2015"/>
      <c r="AL5" s="2015"/>
      <c r="AM5" s="2015"/>
      <c r="AN5" s="2015"/>
      <c r="AO5" s="2015"/>
      <c r="AP5" s="2015"/>
      <c r="AQ5" s="2015"/>
      <c r="AR5" s="2015"/>
      <c r="AS5" s="2015"/>
      <c r="AT5" s="2015"/>
      <c r="AU5" s="2015"/>
      <c r="AV5" s="2015"/>
      <c r="AW5" s="2015"/>
      <c r="AX5" s="2015"/>
      <c r="AY5" s="2015"/>
      <c r="AZ5" s="2015"/>
      <c r="BA5" s="2015"/>
      <c r="BB5" s="2015"/>
      <c r="BC5" s="2015"/>
      <c r="BD5" s="2015"/>
      <c r="BE5" s="2015"/>
      <c r="BF5" s="2015"/>
      <c r="BG5" s="2015"/>
      <c r="BH5" s="2015"/>
      <c r="BI5" s="2015"/>
      <c r="BJ5" s="2015"/>
      <c r="BK5" s="2015"/>
      <c r="BL5" s="2015"/>
      <c r="BM5" s="2015"/>
      <c r="BN5" s="2015"/>
      <c r="BO5" s="2015"/>
      <c r="BP5" s="2015"/>
      <c r="BQ5" s="2015"/>
      <c r="BR5" s="2015"/>
      <c r="BS5" s="2015"/>
    </row>
    <row s="4459" customFormat="1" customHeight="1" ht="18">
      <c r="B6" s="950"/>
      <c r="E6" s="952"/>
      <c r="F6" s="2079" t="str">
        <f>IF(org=0,"Не определено",org)</f>
        <v>МУП г. Азова "Теплоэнерго"</v>
      </c>
      <c r="G6" s="2080"/>
      <c r="H6" s="2080"/>
      <c r="I6" s="2080"/>
      <c r="J6" s="2080"/>
      <c r="K6" s="2080"/>
      <c r="L6" s="2080"/>
      <c r="M6" s="2080"/>
      <c r="N6" s="2080"/>
      <c r="O6" s="2080"/>
      <c r="P6" s="2080"/>
      <c r="Q6" s="2080"/>
      <c r="R6" s="2080"/>
      <c r="S6" s="2080"/>
      <c r="T6" s="2080"/>
      <c r="U6" s="2080"/>
      <c r="V6" s="2080"/>
      <c r="W6" s="2080"/>
      <c r="X6" s="2080"/>
      <c r="Y6" s="2080"/>
      <c r="Z6" s="2080"/>
      <c r="AA6" s="2080"/>
      <c r="AB6" s="2080"/>
      <c r="AC6" s="2080"/>
      <c r="AD6" s="2080"/>
      <c r="AE6" s="2080"/>
      <c r="AF6" s="2080"/>
      <c r="AG6" s="2080"/>
      <c r="AH6" s="2080"/>
      <c r="AI6" s="2080"/>
      <c r="AJ6" s="2080"/>
      <c r="AK6" s="2080"/>
      <c r="AL6" s="2080"/>
      <c r="AM6" s="2080"/>
      <c r="AN6" s="2080"/>
      <c r="AO6" s="2080"/>
      <c r="AP6" s="2080"/>
      <c r="AQ6" s="2080"/>
      <c r="AR6" s="2080"/>
      <c r="AS6" s="2080"/>
      <c r="AT6" s="2080"/>
      <c r="AU6" s="2080"/>
      <c r="AV6" s="2080"/>
      <c r="AW6" s="2080"/>
      <c r="AX6" s="2080"/>
      <c r="AY6" s="2080"/>
      <c r="AZ6" s="2080"/>
      <c r="BA6" s="2080"/>
      <c r="BB6" s="2080"/>
      <c r="BC6" s="2080"/>
      <c r="BD6" s="2080"/>
      <c r="BE6" s="2080"/>
      <c r="BF6" s="2080"/>
      <c r="BG6" s="2080"/>
      <c r="BH6" s="2080"/>
      <c r="BI6" s="2080"/>
      <c r="BJ6" s="2080"/>
      <c r="BK6" s="2080"/>
      <c r="BL6" s="2080"/>
      <c r="BM6" s="2080"/>
      <c r="BN6" s="2080"/>
      <c r="BO6" s="2080"/>
      <c r="BP6" s="2080"/>
      <c r="BQ6" s="2080"/>
      <c r="BR6" s="2080"/>
      <c r="BS6" s="2080"/>
    </row>
    <row s="4462" customFormat="1" customHeight="1" ht="10.5">
      <c r="B7" s="938"/>
      <c r="E7" s="939"/>
      <c r="F7" s="939"/>
      <c r="G7" s="941"/>
      <c r="H7" s="935"/>
      <c r="I7" s="935"/>
      <c r="J7" s="935"/>
      <c r="K7" s="935"/>
      <c r="L7" s="935"/>
      <c r="M7" s="939"/>
      <c r="N7" s="939"/>
      <c r="O7" s="939"/>
      <c r="P7" s="939"/>
      <c r="Q7" s="939"/>
      <c r="R7" s="939"/>
      <c r="S7" s="939"/>
      <c r="T7" s="939"/>
      <c r="U7" s="939"/>
      <c r="V7" s="939"/>
      <c r="W7" s="939"/>
      <c r="X7" s="939"/>
      <c r="Y7" s="939"/>
      <c r="Z7" s="939"/>
      <c r="AA7" s="939"/>
      <c r="AB7" s="939"/>
      <c r="AC7" s="939"/>
      <c r="AD7" s="939"/>
      <c r="AE7" s="939"/>
      <c r="AF7" s="939"/>
      <c r="AG7" s="939"/>
      <c r="AH7" s="939"/>
      <c r="AI7" s="939"/>
      <c r="AJ7" s="939"/>
      <c r="AK7" s="939"/>
      <c r="AL7" s="939"/>
      <c r="AM7" s="939"/>
      <c r="AN7" s="939"/>
      <c r="AO7" s="939"/>
      <c r="AP7" s="939"/>
      <c r="AQ7" s="939"/>
      <c r="AR7" s="939"/>
      <c r="AS7" s="939"/>
      <c r="AT7" s="939"/>
      <c r="AU7" s="939"/>
      <c r="AV7" s="939"/>
      <c r="AW7" s="939"/>
      <c r="AX7" s="939"/>
      <c r="AY7" s="939"/>
      <c r="AZ7" s="939"/>
      <c r="BA7" s="939"/>
      <c r="BB7" s="939"/>
      <c r="BC7" s="939"/>
      <c r="BD7" s="939"/>
      <c r="BE7" s="939"/>
      <c r="BF7" s="939"/>
      <c r="BG7" s="939"/>
      <c r="BH7" s="939"/>
      <c r="BI7" s="939"/>
      <c r="BJ7" s="939"/>
      <c r="BK7" s="939"/>
      <c r="BL7" s="939"/>
      <c r="BM7" s="939"/>
      <c r="BN7" s="939"/>
      <c r="BO7" s="939"/>
      <c r="BP7" s="939"/>
      <c r="BQ7" s="939"/>
      <c r="BR7" s="939"/>
      <c r="BS7" s="939"/>
      <c r="BT7" s="939"/>
      <c r="BU7" s="939"/>
      <c r="BV7" s="939"/>
      <c r="BW7" s="939"/>
      <c r="BX7" s="939"/>
      <c r="BY7" s="939"/>
      <c r="BZ7" s="939"/>
      <c r="CA7" s="939"/>
      <c r="CB7" s="939"/>
      <c r="CC7" s="939"/>
      <c r="CD7" s="939"/>
      <c r="CE7" s="939"/>
      <c r="CF7" s="939"/>
      <c r="CG7" s="939"/>
      <c r="CH7" s="939"/>
      <c r="CI7" s="939"/>
      <c r="CJ7" s="939"/>
      <c r="CK7" s="939"/>
      <c r="CL7" s="939"/>
      <c r="CM7" s="939"/>
      <c r="CN7" s="939"/>
      <c r="CO7" s="939"/>
      <c r="CP7" s="939"/>
      <c r="CQ7" s="939"/>
      <c r="CR7" s="939"/>
      <c r="CS7" s="939"/>
      <c r="CT7" s="939"/>
      <c r="CU7" s="939"/>
      <c r="CV7" s="939"/>
      <c r="CW7" s="939"/>
      <c r="CX7" s="939"/>
      <c r="CY7" s="939"/>
      <c r="CZ7" s="939"/>
      <c r="DA7" s="939"/>
      <c r="DB7" s="939"/>
      <c r="DC7" s="939"/>
      <c r="DD7" s="939"/>
      <c r="DE7" s="939"/>
      <c r="DF7" s="939"/>
      <c r="DG7" s="939"/>
      <c r="DH7" s="939"/>
      <c r="DI7" s="939"/>
      <c r="DJ7" s="939"/>
      <c r="DK7" s="939"/>
      <c r="DL7" s="939"/>
      <c r="DM7" s="939"/>
      <c r="DN7" s="939"/>
      <c r="DO7" s="939"/>
      <c r="DP7" s="939"/>
      <c r="DQ7" s="939"/>
      <c r="DR7" s="939"/>
      <c r="DS7" s="939"/>
      <c r="DT7" s="939"/>
      <c r="DU7" s="939"/>
      <c r="DV7" s="939"/>
      <c r="DW7" s="939"/>
      <c r="DX7" s="939"/>
      <c r="DY7" s="939"/>
      <c r="DZ7" s="939"/>
      <c r="EA7" s="939"/>
      <c r="EB7" s="939"/>
      <c r="EC7" s="939"/>
      <c r="ED7" s="939"/>
      <c r="EE7" s="939"/>
      <c r="EF7" s="939"/>
      <c r="EG7" s="939"/>
      <c r="EH7" s="939"/>
      <c r="EI7" s="939"/>
      <c r="EJ7" s="939"/>
      <c r="EK7" s="939"/>
      <c r="EL7" s="939"/>
      <c r="EM7" s="939"/>
      <c r="EN7" s="939"/>
      <c r="EO7" s="939"/>
      <c r="EP7" s="939"/>
      <c r="EQ7" s="939"/>
      <c r="ER7" s="939"/>
      <c r="ES7" s="939"/>
      <c r="ET7" s="939"/>
      <c r="EU7" s="939"/>
      <c r="EV7" s="939"/>
      <c r="EW7" s="939"/>
      <c r="EX7" s="939"/>
      <c r="EY7" s="939"/>
      <c r="EZ7" s="939"/>
      <c r="FA7" s="939"/>
      <c r="FB7" s="939"/>
      <c r="FC7" s="939"/>
      <c r="FD7" s="939"/>
      <c r="FE7" s="939"/>
      <c r="FF7" s="939"/>
      <c r="FG7" s="939"/>
      <c r="FH7" s="939"/>
      <c r="FI7" s="939"/>
      <c r="FJ7" s="939"/>
      <c r="FK7" s="939"/>
      <c r="FL7" s="939"/>
      <c r="FM7" s="939"/>
      <c r="FN7" s="939"/>
      <c r="FO7" s="939"/>
      <c r="FP7" s="939"/>
      <c r="FQ7" s="939"/>
      <c r="FR7" s="939"/>
      <c r="FS7" s="939"/>
      <c r="FT7" s="939"/>
      <c r="FU7" s="939"/>
      <c r="FV7" s="939"/>
      <c r="FW7" s="939"/>
    </row>
    <row s="4464" customFormat="1" customHeight="1" ht="11.25" hidden="1">
      <c r="B8" s="940"/>
      <c r="F8" s="1063"/>
      <c r="G8" s="769"/>
      <c r="H8" s="356"/>
      <c r="I8" s="356"/>
      <c r="J8" s="356"/>
      <c r="K8" s="356"/>
      <c r="L8" s="356"/>
      <c r="M8" s="1063"/>
      <c r="N8" s="1063"/>
      <c r="O8" s="2281" t="s">
        <v>973</v>
      </c>
      <c r="P8" s="2282"/>
      <c r="Q8" s="2282"/>
      <c r="R8" s="2282"/>
      <c r="S8" s="2282"/>
      <c r="T8" s="2282"/>
      <c r="U8" s="2282"/>
      <c r="V8" s="2282"/>
      <c r="W8" s="2282"/>
      <c r="X8" s="2282"/>
      <c r="Y8" s="2282"/>
      <c r="Z8" s="2282"/>
      <c r="AA8" s="2282"/>
      <c r="AB8" s="2282"/>
      <c r="AC8" s="2282"/>
      <c r="AD8" s="2282"/>
      <c r="AE8" s="2282"/>
      <c r="AF8" s="2282"/>
      <c r="AG8" s="2282"/>
      <c r="AH8" s="2282"/>
      <c r="AI8" s="2282"/>
      <c r="AJ8" s="2282"/>
      <c r="AK8" s="2282"/>
      <c r="AL8" s="2282"/>
      <c r="AM8" s="2282"/>
      <c r="AN8" s="2282"/>
      <c r="AO8" s="2282"/>
      <c r="AP8" s="2282"/>
      <c r="AQ8" s="2282"/>
      <c r="AR8" s="2282"/>
      <c r="AS8" s="2282"/>
      <c r="AT8" s="2282"/>
      <c r="AU8" s="2282"/>
      <c r="AV8" s="2282"/>
      <c r="AW8" s="2282"/>
      <c r="AX8" s="2282"/>
      <c r="AY8" s="2282"/>
      <c r="AZ8" s="2282"/>
      <c r="BA8" s="2282"/>
      <c r="BB8" s="2282"/>
      <c r="BC8" s="2282"/>
      <c r="BD8" s="2282"/>
      <c r="BE8" s="2282"/>
      <c r="BF8" s="2282"/>
      <c r="BG8" s="2282"/>
      <c r="BH8" s="2282"/>
      <c r="BI8" s="2282"/>
      <c r="BJ8" s="2282"/>
      <c r="BK8" s="2282"/>
      <c r="BL8" s="2282"/>
      <c r="BM8" s="2282"/>
      <c r="BN8" s="2282"/>
      <c r="BO8" s="2282"/>
      <c r="BP8" s="2282"/>
      <c r="BQ8" s="2282"/>
      <c r="BR8" s="2282"/>
      <c r="BS8" s="2283"/>
      <c r="BT8" s="2284"/>
      <c r="BU8" s="2285"/>
      <c r="BV8" s="2285"/>
      <c r="BW8" s="2285"/>
      <c r="BX8" s="2285"/>
      <c r="BY8" s="2285"/>
      <c r="BZ8" s="2285"/>
      <c r="CA8" s="2285"/>
      <c r="CB8" s="2285"/>
      <c r="CC8" s="2285"/>
      <c r="CD8" s="2285"/>
      <c r="CE8" s="2285"/>
      <c r="CF8" s="2285"/>
      <c r="CG8" s="2285"/>
      <c r="CH8" s="2285"/>
      <c r="CI8" s="2285"/>
      <c r="CJ8" s="2285"/>
      <c r="CK8" s="2285"/>
      <c r="CL8" s="2285"/>
      <c r="CM8" s="2285"/>
      <c r="CN8" s="2285"/>
      <c r="CO8" s="2285"/>
      <c r="CP8" s="2285"/>
      <c r="CQ8" s="2285"/>
      <c r="CR8" s="2285"/>
      <c r="CS8" s="2285"/>
      <c r="CT8" s="2285"/>
      <c r="CU8" s="2285"/>
      <c r="CV8" s="2285"/>
      <c r="CW8" s="2285"/>
      <c r="CX8" s="2286"/>
      <c r="CY8" s="2287"/>
      <c r="CZ8" s="2288"/>
      <c r="DA8" s="2288"/>
      <c r="DB8" s="2288"/>
      <c r="DC8" s="2288"/>
      <c r="DD8" s="2288"/>
      <c r="DE8" s="2288"/>
      <c r="DF8" s="2288"/>
      <c r="DG8" s="2288"/>
      <c r="DH8" s="2288"/>
      <c r="DI8" s="2288"/>
      <c r="DJ8" s="2288"/>
      <c r="DK8" s="2288"/>
      <c r="DL8" s="2288"/>
      <c r="DM8" s="2288"/>
      <c r="DN8" s="2288"/>
      <c r="DO8" s="2288"/>
      <c r="DP8" s="2288"/>
      <c r="DQ8" s="2288"/>
      <c r="DR8" s="2288"/>
      <c r="DS8" s="2288"/>
      <c r="DT8" s="2288"/>
      <c r="DU8" s="2288"/>
      <c r="DV8" s="2288"/>
      <c r="DW8" s="2288"/>
      <c r="DX8" s="2289"/>
      <c r="DY8" s="2275" t="s">
        <v>974</v>
      </c>
      <c r="DZ8" s="2276"/>
      <c r="EA8" s="2276"/>
      <c r="EB8" s="2276"/>
      <c r="EC8" s="2276"/>
      <c r="ED8" s="2276"/>
      <c r="EE8" s="2276"/>
      <c r="EF8" s="2276"/>
      <c r="EG8" s="2276"/>
      <c r="EH8" s="2276"/>
      <c r="EI8" s="2276"/>
      <c r="EJ8" s="2276"/>
      <c r="EK8" s="2276"/>
      <c r="EL8" s="2276"/>
      <c r="EM8" s="2276"/>
      <c r="EN8" s="2276"/>
      <c r="EO8" s="2276"/>
      <c r="EP8" s="2276"/>
      <c r="EQ8" s="2276"/>
      <c r="ER8" s="2276"/>
      <c r="ES8" s="2276"/>
      <c r="ET8" s="2276"/>
      <c r="EU8" s="2276"/>
      <c r="EV8" s="2276"/>
      <c r="EW8" s="2276"/>
      <c r="EX8" s="2276"/>
      <c r="EY8" s="2276"/>
      <c r="EZ8" s="2276"/>
      <c r="FA8" s="2276"/>
      <c r="FB8" s="2276"/>
      <c r="FC8" s="2276"/>
      <c r="FD8" s="2276"/>
      <c r="FE8" s="2276"/>
      <c r="FF8" s="2276"/>
      <c r="FG8" s="2276"/>
      <c r="FH8" s="2276"/>
      <c r="FI8" s="2276"/>
      <c r="FJ8" s="2276"/>
      <c r="FK8" s="2276"/>
      <c r="FL8" s="2276"/>
      <c r="FM8" s="2276"/>
      <c r="FN8" s="2276"/>
      <c r="FO8" s="2276"/>
      <c r="FP8" s="2276"/>
      <c r="FQ8" s="2276"/>
      <c r="FR8" s="2276"/>
      <c r="FS8" s="2276"/>
      <c r="FT8" s="2276"/>
      <c r="FU8" s="2276"/>
      <c r="FV8" s="2276"/>
      <c r="FW8" s="2277"/>
      <c r="FX8" s="1063"/>
    </row>
    <row s="4464" customFormat="1" customHeight="1" ht="11.25" hidden="1">
      <c r="B9" s="940"/>
      <c r="F9" s="1063"/>
      <c r="G9" s="769"/>
      <c r="H9" s="356"/>
      <c r="I9" s="356"/>
      <c r="J9" s="356"/>
      <c r="K9" s="356"/>
      <c r="L9" s="356"/>
      <c r="M9" s="1063"/>
      <c r="N9" s="1063"/>
      <c r="O9" s="1063"/>
      <c r="P9" s="1063"/>
      <c r="Q9" s="1063"/>
      <c r="R9" s="1063"/>
      <c r="S9" s="1063"/>
      <c r="T9" s="1063"/>
      <c r="U9" s="1063"/>
      <c r="V9" s="1063"/>
      <c r="W9" s="1063"/>
      <c r="X9" s="1063"/>
      <c r="Y9" s="1063"/>
      <c r="Z9" s="1063"/>
      <c r="AA9" s="1063"/>
      <c r="AB9" s="1063"/>
      <c r="AC9" s="1063"/>
      <c r="AD9" s="1063"/>
      <c r="AE9" s="1063"/>
      <c r="AF9" s="1063"/>
      <c r="AG9" s="1063"/>
      <c r="AH9" s="1063"/>
      <c r="AI9" s="1063"/>
      <c r="AJ9" s="1063"/>
      <c r="AK9" s="1063"/>
      <c r="AL9" s="1063"/>
      <c r="AM9" s="1063"/>
      <c r="AN9" s="1063"/>
      <c r="AO9" s="1063"/>
      <c r="AP9" s="1063"/>
      <c r="AQ9" s="1063"/>
      <c r="AR9" s="1063"/>
      <c r="AS9" s="1063"/>
      <c r="AT9" s="1063"/>
      <c r="AU9" s="1063"/>
      <c r="AV9" s="1063"/>
      <c r="AW9" s="1063"/>
      <c r="AX9" s="1063"/>
      <c r="AY9" s="1063"/>
      <c r="AZ9" s="1063"/>
      <c r="BA9" s="1063"/>
      <c r="BB9" s="1063"/>
      <c r="BC9" s="1063"/>
      <c r="BD9" s="1063"/>
      <c r="BE9" s="1063"/>
      <c r="BF9" s="1063"/>
      <c r="BG9" s="1063"/>
      <c r="BH9" s="1063"/>
      <c r="BI9" s="1063"/>
      <c r="BJ9" s="1063"/>
      <c r="BK9" s="1063"/>
      <c r="BL9" s="1063"/>
      <c r="BM9" s="1063"/>
      <c r="BN9" s="1063"/>
      <c r="BO9" s="1063"/>
      <c r="BP9" s="1063"/>
      <c r="BQ9" s="1063"/>
      <c r="BR9" s="1063"/>
      <c r="BS9" s="1063"/>
      <c r="BT9" s="1063"/>
      <c r="BU9" s="1063"/>
      <c r="BV9" s="1063"/>
      <c r="BW9" s="1063"/>
      <c r="BX9" s="1063"/>
      <c r="BY9" s="1063"/>
      <c r="BZ9" s="1063"/>
      <c r="CA9" s="1063"/>
      <c r="CB9" s="1063"/>
      <c r="CC9" s="1063"/>
      <c r="CD9" s="1063"/>
      <c r="CE9" s="1063"/>
      <c r="CF9" s="1063"/>
      <c r="CG9" s="1063"/>
      <c r="CH9" s="1063"/>
      <c r="CI9" s="1063"/>
      <c r="CJ9" s="1063"/>
      <c r="CK9" s="1063"/>
      <c r="CL9" s="1063"/>
      <c r="CM9" s="1063"/>
      <c r="CN9" s="1063"/>
      <c r="CO9" s="1063"/>
      <c r="CP9" s="1063"/>
      <c r="CQ9" s="1063"/>
      <c r="CR9" s="1063"/>
      <c r="CS9" s="1063"/>
      <c r="CT9" s="1063"/>
      <c r="CU9" s="1063"/>
      <c r="CV9" s="1063"/>
      <c r="CW9" s="1063"/>
      <c r="CX9" s="1063"/>
      <c r="CY9" s="1063"/>
      <c r="CZ9" s="1063"/>
      <c r="DA9" s="1063"/>
      <c r="DB9" s="1063"/>
      <c r="DC9" s="1063"/>
      <c r="DD9" s="1063"/>
      <c r="DE9" s="1063"/>
      <c r="DF9" s="1063"/>
      <c r="DG9" s="1063"/>
      <c r="DH9" s="1063"/>
      <c r="DI9" s="1063"/>
      <c r="DJ9" s="1063"/>
      <c r="DK9" s="1063"/>
      <c r="DL9" s="1063"/>
      <c r="DM9" s="1063"/>
      <c r="DN9" s="1063"/>
      <c r="DO9" s="1063"/>
      <c r="DP9" s="1063"/>
      <c r="DQ9" s="1063"/>
      <c r="DR9" s="1063"/>
      <c r="DS9" s="1063"/>
      <c r="DT9" s="1063"/>
      <c r="DU9" s="1063"/>
      <c r="DV9" s="1063"/>
      <c r="DW9" s="1063"/>
      <c r="DX9" s="1063"/>
      <c r="DY9" s="1063"/>
      <c r="DZ9" s="1063"/>
      <c r="EA9" s="1063"/>
      <c r="EB9" s="1063"/>
      <c r="EC9" s="1063"/>
      <c r="ED9" s="1063"/>
      <c r="EE9" s="1063"/>
      <c r="EF9" s="1063"/>
      <c r="EG9" s="1063"/>
      <c r="EH9" s="1063"/>
      <c r="EI9" s="1063"/>
      <c r="EJ9" s="1063"/>
      <c r="EK9" s="1063"/>
      <c r="EL9" s="1063"/>
      <c r="EM9" s="1063"/>
      <c r="EN9" s="1063"/>
      <c r="EO9" s="1063"/>
      <c r="EP9" s="1063"/>
      <c r="EQ9" s="1063"/>
      <c r="ER9" s="1063"/>
      <c r="ES9" s="1063"/>
      <c r="ET9" s="1063"/>
      <c r="EU9" s="1063"/>
      <c r="EV9" s="1063"/>
      <c r="EW9" s="1063"/>
      <c r="EX9" s="1063"/>
      <c r="EY9" s="1063"/>
      <c r="EZ9" s="1063"/>
      <c r="FA9" s="1063"/>
      <c r="FB9" s="1063"/>
      <c r="FC9" s="1063"/>
      <c r="FD9" s="1063"/>
      <c r="FE9" s="1063"/>
      <c r="FF9" s="1063"/>
      <c r="FG9" s="1063"/>
      <c r="FH9" s="1063"/>
      <c r="FI9" s="1063"/>
      <c r="FJ9" s="1063"/>
      <c r="FK9" s="1063"/>
      <c r="FL9" s="1063"/>
      <c r="FM9" s="1063"/>
      <c r="FN9" s="1063"/>
      <c r="FO9" s="1063"/>
      <c r="FP9" s="1063"/>
      <c r="FQ9" s="1063"/>
      <c r="FR9" s="1063"/>
      <c r="FS9" s="1063"/>
      <c r="FT9" s="1063"/>
      <c r="FU9" s="1063"/>
      <c r="FV9" s="1063"/>
      <c r="FW9" s="2278"/>
      <c r="FX9" s="1063"/>
    </row>
    <row s="4464" customFormat="1" customHeight="1" ht="11.25">
      <c r="B10" s="940"/>
      <c r="F10" s="2292" t="s">
        <v>291</v>
      </c>
      <c r="G10" s="2293"/>
      <c r="H10" s="2293"/>
      <c r="I10" s="2293"/>
      <c r="J10" s="2293"/>
      <c r="K10" s="2293"/>
      <c r="L10" s="2293"/>
      <c r="M10" s="2293"/>
      <c r="N10" s="2293"/>
      <c r="O10" s="2293"/>
      <c r="P10" s="2293"/>
      <c r="Q10" s="2293"/>
      <c r="R10" s="2293"/>
      <c r="S10" s="2293"/>
      <c r="T10" s="2293"/>
      <c r="U10" s="2293"/>
      <c r="V10" s="2293"/>
      <c r="W10" s="2293"/>
      <c r="X10" s="2293"/>
      <c r="Y10" s="2293"/>
      <c r="Z10" s="2293"/>
      <c r="AA10" s="2293"/>
      <c r="AB10" s="2293"/>
      <c r="AC10" s="2293"/>
      <c r="AD10" s="2293"/>
      <c r="AE10" s="2293"/>
      <c r="AF10" s="2293"/>
      <c r="AG10" s="2293"/>
      <c r="AH10" s="2293"/>
      <c r="AI10" s="2293"/>
      <c r="AJ10" s="2293"/>
      <c r="AK10" s="2293"/>
      <c r="AL10" s="2293"/>
      <c r="AM10" s="2293"/>
      <c r="AN10" s="2293"/>
      <c r="AO10" s="2293"/>
      <c r="AP10" s="2293"/>
      <c r="AQ10" s="2293"/>
      <c r="AR10" s="2293"/>
      <c r="AS10" s="2293"/>
      <c r="AT10" s="2293"/>
      <c r="AU10" s="2293"/>
      <c r="AV10" s="2293"/>
      <c r="AW10" s="2293"/>
      <c r="AX10" s="2293"/>
      <c r="AY10" s="2293"/>
      <c r="AZ10" s="2293"/>
      <c r="BA10" s="2293"/>
      <c r="BB10" s="2293"/>
      <c r="BC10" s="2293"/>
      <c r="BD10" s="2293"/>
      <c r="BE10" s="2293"/>
      <c r="BF10" s="2293"/>
      <c r="BG10" s="2293"/>
      <c r="BH10" s="2293"/>
      <c r="BI10" s="2293"/>
      <c r="BJ10" s="2293"/>
      <c r="BK10" s="2293"/>
      <c r="BL10" s="2293"/>
      <c r="BM10" s="2293"/>
      <c r="BN10" s="2293"/>
      <c r="BO10" s="2293"/>
      <c r="BP10" s="2293"/>
      <c r="BQ10" s="2293"/>
      <c r="BR10" s="2293"/>
      <c r="BS10" s="2293"/>
      <c r="BT10" s="2293"/>
      <c r="BU10" s="2293"/>
      <c r="BV10" s="2293"/>
      <c r="BW10" s="2293"/>
      <c r="BX10" s="2293"/>
      <c r="BY10" s="2293"/>
      <c r="BZ10" s="2293"/>
      <c r="CA10" s="2293"/>
      <c r="CB10" s="2293"/>
      <c r="CC10" s="2293"/>
      <c r="CD10" s="2293"/>
      <c r="CE10" s="2293"/>
      <c r="CF10" s="2293"/>
      <c r="CG10" s="2293"/>
      <c r="CH10" s="2293"/>
      <c r="CI10" s="2293"/>
      <c r="CJ10" s="2293"/>
      <c r="CK10" s="2293"/>
      <c r="CL10" s="2293"/>
      <c r="CM10" s="2293"/>
      <c r="CN10" s="2293"/>
      <c r="CO10" s="2293"/>
      <c r="CP10" s="2293"/>
      <c r="CQ10" s="2293"/>
      <c r="CR10" s="2293"/>
      <c r="CS10" s="2293"/>
      <c r="CT10" s="2293"/>
      <c r="CU10" s="2293"/>
      <c r="CV10" s="2293"/>
      <c r="CW10" s="2293"/>
      <c r="CX10" s="2293"/>
      <c r="CY10" s="2293"/>
      <c r="CZ10" s="2293"/>
      <c r="DA10" s="2293"/>
      <c r="DB10" s="2293"/>
      <c r="DC10" s="2293"/>
      <c r="DD10" s="2293"/>
      <c r="DE10" s="2293"/>
      <c r="DF10" s="2293"/>
      <c r="DG10" s="2293"/>
      <c r="DH10" s="2293"/>
      <c r="DI10" s="2293"/>
      <c r="DJ10" s="2293"/>
      <c r="DK10" s="2293"/>
      <c r="DL10" s="2293"/>
      <c r="DM10" s="2293"/>
      <c r="DN10" s="2293"/>
      <c r="DO10" s="2293"/>
      <c r="DP10" s="2293"/>
      <c r="DQ10" s="2293"/>
      <c r="DR10" s="2293"/>
      <c r="DS10" s="2293"/>
      <c r="DT10" s="2293"/>
      <c r="DU10" s="2293"/>
      <c r="DV10" s="2293"/>
      <c r="DW10" s="2293"/>
      <c r="DX10" s="2293"/>
      <c r="DY10" s="2293"/>
      <c r="DZ10" s="2293"/>
      <c r="EA10" s="2293"/>
      <c r="EB10" s="2293"/>
      <c r="EC10" s="2293"/>
      <c r="ED10" s="2293"/>
      <c r="EE10" s="2293"/>
      <c r="EF10" s="2293"/>
      <c r="EG10" s="2293"/>
      <c r="EH10" s="2293"/>
      <c r="EI10" s="2293"/>
      <c r="EJ10" s="2293"/>
      <c r="EK10" s="2293"/>
      <c r="EL10" s="2293"/>
      <c r="EM10" s="2293"/>
      <c r="EN10" s="2293"/>
      <c r="EO10" s="2293"/>
      <c r="EP10" s="2293"/>
      <c r="EQ10" s="2293"/>
      <c r="ER10" s="2293"/>
      <c r="ES10" s="2293"/>
      <c r="ET10" s="2293"/>
      <c r="EU10" s="2293"/>
      <c r="EV10" s="2293"/>
      <c r="EW10" s="2293"/>
      <c r="EX10" s="2293"/>
      <c r="EY10" s="2293"/>
      <c r="EZ10" s="2293"/>
      <c r="FA10" s="2293"/>
      <c r="FB10" s="2293"/>
      <c r="FC10" s="2293"/>
      <c r="FD10" s="2293"/>
      <c r="FE10" s="2293"/>
      <c r="FF10" s="2293"/>
      <c r="FG10" s="2293"/>
      <c r="FH10" s="2293"/>
      <c r="FI10" s="2293"/>
      <c r="FJ10" s="2293"/>
      <c r="FK10" s="2293"/>
      <c r="FL10" s="2293"/>
      <c r="FM10" s="2293"/>
      <c r="FN10" s="2293"/>
      <c r="FO10" s="2293"/>
      <c r="FP10" s="2293"/>
      <c r="FQ10" s="2293"/>
      <c r="FR10" s="2293"/>
      <c r="FS10" s="2293"/>
      <c r="FT10" s="2293"/>
      <c r="FU10" s="2293"/>
      <c r="FV10" s="2294"/>
      <c r="FW10" s="2278"/>
      <c r="FX10" s="1063"/>
    </row>
    <row customHeight="1" ht="12">
      <c r="E11" s="943"/>
      <c r="F11" s="2057" t="s">
        <v>87</v>
      </c>
      <c r="G11" s="2057" t="s">
        <v>975</v>
      </c>
      <c r="H11" s="2291" t="s">
        <v>976</v>
      </c>
      <c r="I11" s="2291" t="s">
        <v>977</v>
      </c>
      <c r="J11" s="2290"/>
      <c r="K11" s="2290"/>
      <c r="L11" s="2290"/>
      <c r="M11" s="2290"/>
      <c r="N11" s="2290"/>
      <c r="O11" s="2062" t="s">
        <v>978</v>
      </c>
      <c r="P11" s="2062"/>
      <c r="Q11" s="2062"/>
      <c r="R11" s="2062"/>
      <c r="S11" s="2062"/>
      <c r="T11" s="2062"/>
      <c r="U11" s="2062"/>
      <c r="V11" s="2062"/>
      <c r="W11" s="2062"/>
      <c r="X11" s="2062"/>
      <c r="Y11" s="2062"/>
      <c r="Z11" s="2062"/>
      <c r="AA11" s="2062"/>
      <c r="AB11" s="2062"/>
      <c r="AC11" s="2272"/>
      <c r="AD11" s="2272"/>
      <c r="AE11" s="2272"/>
      <c r="AF11" s="2272"/>
      <c r="AG11" s="2272"/>
      <c r="AH11" s="2272"/>
      <c r="AI11" s="2272"/>
      <c r="AJ11" s="2272"/>
      <c r="AK11" s="2272"/>
      <c r="AL11" s="2272"/>
      <c r="AM11" s="2272"/>
      <c r="AN11" s="2272"/>
      <c r="AO11" s="2272"/>
      <c r="AP11" s="2272"/>
      <c r="AQ11" s="2272"/>
      <c r="AR11" s="2272"/>
      <c r="AS11" s="2272"/>
      <c r="AT11" s="2272"/>
      <c r="AU11" s="2272"/>
      <c r="AV11" s="2272"/>
      <c r="AW11" s="2272"/>
      <c r="AX11" s="2272"/>
      <c r="AY11" s="2272"/>
      <c r="AZ11" s="2272"/>
      <c r="BA11" s="2272"/>
      <c r="BB11" s="2272"/>
      <c r="BC11" s="2272"/>
      <c r="BD11" s="2272"/>
      <c r="BE11" s="2272"/>
      <c r="BF11" s="2272"/>
      <c r="BG11" s="2272"/>
      <c r="BH11" s="2272"/>
      <c r="BI11" s="2272"/>
      <c r="BJ11" s="2272"/>
      <c r="BK11" s="2272"/>
      <c r="BL11" s="2272"/>
      <c r="BM11" s="2272"/>
      <c r="BN11" s="2272"/>
      <c r="BO11" s="2272"/>
      <c r="BP11" s="2272"/>
      <c r="BQ11" s="2272"/>
      <c r="BR11" s="2272"/>
      <c r="BS11" s="2273"/>
      <c r="BT11" s="2270" t="s">
        <v>978</v>
      </c>
      <c r="BU11" s="2274"/>
      <c r="BV11" s="2274"/>
      <c r="BW11" s="2274"/>
      <c r="BX11" s="2274"/>
      <c r="BY11" s="2274"/>
      <c r="BZ11" s="2274"/>
      <c r="CA11" s="2274"/>
      <c r="CB11" s="2274"/>
      <c r="CC11" s="2274"/>
      <c r="CD11" s="2274"/>
      <c r="CE11" s="2274"/>
      <c r="CF11" s="2274"/>
      <c r="CG11" s="2274"/>
      <c r="CH11" s="2274"/>
      <c r="CI11" s="2274"/>
      <c r="CJ11" s="2274"/>
      <c r="CK11" s="2271"/>
      <c r="CL11" s="2280"/>
      <c r="CM11" s="2272"/>
      <c r="CN11" s="2272"/>
      <c r="CO11" s="2272"/>
      <c r="CP11" s="2272"/>
      <c r="CQ11" s="2272"/>
      <c r="CR11" s="2272"/>
      <c r="CS11" s="2272"/>
      <c r="CT11" s="2272"/>
      <c r="CU11" s="2272"/>
      <c r="CV11" s="2272"/>
      <c r="CW11" s="2272"/>
      <c r="CX11" s="2273"/>
      <c r="CY11" s="2270" t="s">
        <v>978</v>
      </c>
      <c r="CZ11" s="2274"/>
      <c r="DA11" s="2274"/>
      <c r="DB11" s="2274"/>
      <c r="DC11" s="2274"/>
      <c r="DD11" s="2274"/>
      <c r="DE11" s="2274"/>
      <c r="DF11" s="2274"/>
      <c r="DG11" s="2274"/>
      <c r="DH11" s="2274"/>
      <c r="DI11" s="2274"/>
      <c r="DJ11" s="2271"/>
      <c r="DK11" s="2280"/>
      <c r="DL11" s="2272"/>
      <c r="DM11" s="2272"/>
      <c r="DN11" s="2272"/>
      <c r="DO11" s="2272"/>
      <c r="DP11" s="2272"/>
      <c r="DQ11" s="2272"/>
      <c r="DR11" s="2272"/>
      <c r="DS11" s="2272"/>
      <c r="DT11" s="2272"/>
      <c r="DU11" s="2272"/>
      <c r="DV11" s="2272"/>
      <c r="DW11" s="2272"/>
      <c r="DX11" s="2272"/>
      <c r="DY11" s="2272"/>
      <c r="DZ11" s="2272"/>
      <c r="EA11" s="2272"/>
      <c r="EB11" s="2272"/>
      <c r="EC11" s="2272"/>
      <c r="ED11" s="2272"/>
      <c r="EE11" s="2272"/>
      <c r="EF11" s="2272"/>
      <c r="EG11" s="2272"/>
      <c r="EH11" s="2272"/>
      <c r="EI11" s="2272"/>
      <c r="EJ11" s="2272"/>
      <c r="EK11" s="2272"/>
      <c r="EL11" s="2272"/>
      <c r="EM11" s="2272"/>
      <c r="EN11" s="2272"/>
      <c r="EO11" s="2272"/>
      <c r="EP11" s="2272"/>
      <c r="EQ11" s="2272"/>
      <c r="ER11" s="2272"/>
      <c r="ES11" s="2272"/>
      <c r="ET11" s="2272"/>
      <c r="EU11" s="2272"/>
      <c r="EV11" s="2272"/>
      <c r="EW11" s="2272"/>
      <c r="EX11" s="2272"/>
      <c r="EY11" s="2272"/>
      <c r="EZ11" s="2272"/>
      <c r="FA11" s="2272"/>
      <c r="FB11" s="2272"/>
      <c r="FC11" s="2272"/>
      <c r="FD11" s="2272"/>
      <c r="FE11" s="2272"/>
      <c r="FF11" s="2272"/>
      <c r="FG11" s="2272"/>
      <c r="FH11" s="2272"/>
      <c r="FI11" s="2272"/>
      <c r="FJ11" s="2272"/>
      <c r="FK11" s="2272"/>
      <c r="FL11" s="2272"/>
      <c r="FM11" s="2272"/>
      <c r="FN11" s="2272"/>
      <c r="FO11" s="2272"/>
      <c r="FP11" s="2272"/>
      <c r="FQ11" s="2272"/>
      <c r="FR11" s="2272"/>
      <c r="FS11" s="2272"/>
      <c r="FT11" s="2272"/>
      <c r="FU11" s="2272"/>
      <c r="FV11" s="2272"/>
      <c r="FW11" s="2278"/>
      <c r="FX11" s="768"/>
    </row>
    <row customHeight="1" ht="12">
      <c r="D12" s="944"/>
      <c r="E12" s="943"/>
      <c r="F12" s="2057"/>
      <c r="G12" s="2057"/>
      <c r="H12" s="2291"/>
      <c r="I12" s="2291"/>
      <c r="J12" s="2290"/>
      <c r="K12" s="2290"/>
      <c r="L12" s="2290"/>
      <c r="M12" s="2290"/>
      <c r="N12" s="2290"/>
      <c r="O12" s="2062" t="s">
        <v>979</v>
      </c>
      <c r="P12" s="2062"/>
      <c r="Q12" s="2062"/>
      <c r="R12" s="2062"/>
      <c r="S12" s="2062" t="s">
        <v>980</v>
      </c>
      <c r="T12" s="2062"/>
      <c r="U12" s="2062"/>
      <c r="V12" s="2062"/>
      <c r="W12" s="2062"/>
      <c r="X12" s="2062"/>
      <c r="Y12" s="2062"/>
      <c r="Z12" s="2062"/>
      <c r="AA12" s="2062"/>
      <c r="AB12" s="2062"/>
      <c r="AC12" s="2272"/>
      <c r="AD12" s="2272"/>
      <c r="AE12" s="2272"/>
      <c r="AF12" s="2272"/>
      <c r="AG12" s="2272"/>
      <c r="AH12" s="2272"/>
      <c r="AI12" s="2272"/>
      <c r="AJ12" s="2272"/>
      <c r="AK12" s="2272"/>
      <c r="AL12" s="2272"/>
      <c r="AM12" s="2272"/>
      <c r="AN12" s="2272"/>
      <c r="AO12" s="2272"/>
      <c r="AP12" s="2272"/>
      <c r="AQ12" s="2272"/>
      <c r="AR12" s="2272"/>
      <c r="AS12" s="2272"/>
      <c r="AT12" s="2272"/>
      <c r="AU12" s="2272"/>
      <c r="AV12" s="2272"/>
      <c r="AW12" s="2272"/>
      <c r="AX12" s="2272"/>
      <c r="AY12" s="2272"/>
      <c r="AZ12" s="2272"/>
      <c r="BA12" s="2272"/>
      <c r="BB12" s="2272"/>
      <c r="BC12" s="2272"/>
      <c r="BD12" s="2272"/>
      <c r="BE12" s="2272"/>
      <c r="BF12" s="2272"/>
      <c r="BG12" s="2272"/>
      <c r="BH12" s="2272"/>
      <c r="BI12" s="2272"/>
      <c r="BJ12" s="2272"/>
      <c r="BK12" s="2272"/>
      <c r="BL12" s="2272"/>
      <c r="BM12" s="2272"/>
      <c r="BN12" s="2272"/>
      <c r="BO12" s="2272"/>
      <c r="BP12" s="2272"/>
      <c r="BQ12" s="2272"/>
      <c r="BR12" s="2272"/>
      <c r="BS12" s="2273"/>
      <c r="BT12" s="2270" t="s">
        <v>981</v>
      </c>
      <c r="BU12" s="2274"/>
      <c r="BV12" s="2274"/>
      <c r="BW12" s="2271"/>
      <c r="BX12" s="2270" t="s">
        <v>982</v>
      </c>
      <c r="BY12" s="2274"/>
      <c r="BZ12" s="2274"/>
      <c r="CA12" s="2271"/>
      <c r="CB12" s="2270" t="s">
        <v>983</v>
      </c>
      <c r="CC12" s="2271"/>
      <c r="CD12" s="2270" t="s">
        <v>984</v>
      </c>
      <c r="CE12" s="2274"/>
      <c r="CF12" s="2274"/>
      <c r="CG12" s="2274"/>
      <c r="CH12" s="2274"/>
      <c r="CI12" s="2274"/>
      <c r="CJ12" s="2274"/>
      <c r="CK12" s="2271"/>
      <c r="CL12" s="2280"/>
      <c r="CM12" s="2272"/>
      <c r="CN12" s="2272"/>
      <c r="CO12" s="2272"/>
      <c r="CP12" s="2272"/>
      <c r="CQ12" s="2272"/>
      <c r="CR12" s="2272"/>
      <c r="CS12" s="2272"/>
      <c r="CT12" s="2272"/>
      <c r="CU12" s="2272"/>
      <c r="CV12" s="2272"/>
      <c r="CW12" s="2272"/>
      <c r="CX12" s="2273"/>
      <c r="CY12" s="2270" t="s">
        <v>985</v>
      </c>
      <c r="CZ12" s="2274"/>
      <c r="DA12" s="2274"/>
      <c r="DB12" s="2274"/>
      <c r="DC12" s="2274"/>
      <c r="DD12" s="2271"/>
      <c r="DE12" s="2270" t="s">
        <v>986</v>
      </c>
      <c r="DF12" s="2271"/>
      <c r="DG12" s="2270" t="s">
        <v>984</v>
      </c>
      <c r="DH12" s="2274"/>
      <c r="DI12" s="2274"/>
      <c r="DJ12" s="2271"/>
      <c r="DK12" s="2280"/>
      <c r="DL12" s="2272"/>
      <c r="DM12" s="2272"/>
      <c r="DN12" s="2272"/>
      <c r="DO12" s="2272"/>
      <c r="DP12" s="2272"/>
      <c r="DQ12" s="2272"/>
      <c r="DR12" s="2272"/>
      <c r="DS12" s="2272"/>
      <c r="DT12" s="2272"/>
      <c r="DU12" s="2272"/>
      <c r="DV12" s="2272"/>
      <c r="DW12" s="2272"/>
      <c r="DX12" s="2272"/>
      <c r="DY12" s="2272"/>
      <c r="DZ12" s="2272"/>
      <c r="EA12" s="2272"/>
      <c r="EB12" s="2272"/>
      <c r="EC12" s="2272"/>
      <c r="ED12" s="2272"/>
      <c r="EE12" s="2272"/>
      <c r="EF12" s="2272"/>
      <c r="EG12" s="2272"/>
      <c r="EH12" s="2272"/>
      <c r="EI12" s="2272"/>
      <c r="EJ12" s="2272"/>
      <c r="EK12" s="2272"/>
      <c r="EL12" s="2272"/>
      <c r="EM12" s="2272"/>
      <c r="EN12" s="2272"/>
      <c r="EO12" s="2272"/>
      <c r="EP12" s="2272"/>
      <c r="EQ12" s="2272"/>
      <c r="ER12" s="2272"/>
      <c r="ES12" s="2272"/>
      <c r="ET12" s="2272"/>
      <c r="EU12" s="2272"/>
      <c r="EV12" s="2272"/>
      <c r="EW12" s="2272"/>
      <c r="EX12" s="2272"/>
      <c r="EY12" s="2272"/>
      <c r="EZ12" s="2272"/>
      <c r="FA12" s="2272"/>
      <c r="FB12" s="2272"/>
      <c r="FC12" s="2272"/>
      <c r="FD12" s="2272"/>
      <c r="FE12" s="2272"/>
      <c r="FF12" s="2272"/>
      <c r="FG12" s="2272"/>
      <c r="FH12" s="2272"/>
      <c r="FI12" s="2272"/>
      <c r="FJ12" s="2272"/>
      <c r="FK12" s="2272"/>
      <c r="FL12" s="2272"/>
      <c r="FM12" s="2272"/>
      <c r="FN12" s="2272"/>
      <c r="FO12" s="2272"/>
      <c r="FP12" s="2272"/>
      <c r="FQ12" s="2272"/>
      <c r="FR12" s="2272"/>
      <c r="FS12" s="2272"/>
      <c r="FT12" s="2272"/>
      <c r="FU12" s="2272"/>
      <c r="FV12" s="2272"/>
      <c r="FW12" s="2278"/>
      <c r="FX12" s="768"/>
    </row>
    <row customHeight="1" ht="36">
      <c r="D13" s="944"/>
      <c r="E13" s="943"/>
      <c r="F13" s="2057"/>
      <c r="G13" s="2057"/>
      <c r="H13" s="2291"/>
      <c r="I13" s="2291"/>
      <c r="J13" s="2290"/>
      <c r="K13" s="2290"/>
      <c r="L13" s="2290"/>
      <c r="M13" s="2290"/>
      <c r="N13" s="2290"/>
      <c r="O13" s="2062" t="s">
        <v>987</v>
      </c>
      <c r="P13" s="2062"/>
      <c r="Q13" s="2062"/>
      <c r="R13" s="2062"/>
      <c r="S13" s="2189" t="s">
        <v>988</v>
      </c>
      <c r="T13" s="2268"/>
      <c r="U13" s="1971" t="s">
        <v>989</v>
      </c>
      <c r="V13" s="1971"/>
      <c r="W13" s="1971"/>
      <c r="X13" s="1971"/>
      <c r="Y13" s="1971" t="s">
        <v>990</v>
      </c>
      <c r="Z13" s="1971"/>
      <c r="AA13" s="1971"/>
      <c r="AB13" s="1971"/>
      <c r="AC13" s="2272"/>
      <c r="AD13" s="2272"/>
      <c r="AE13" s="2272"/>
      <c r="AF13" s="2272"/>
      <c r="AG13" s="2272"/>
      <c r="AH13" s="2272"/>
      <c r="AI13" s="2272"/>
      <c r="AJ13" s="2272"/>
      <c r="AK13" s="2272"/>
      <c r="AL13" s="2272"/>
      <c r="AM13" s="2272"/>
      <c r="AN13" s="2272"/>
      <c r="AO13" s="2272"/>
      <c r="AP13" s="2272"/>
      <c r="AQ13" s="2272"/>
      <c r="AR13" s="2272"/>
      <c r="AS13" s="2272"/>
      <c r="AT13" s="2272"/>
      <c r="AU13" s="2272"/>
      <c r="AV13" s="2272"/>
      <c r="AW13" s="2272"/>
      <c r="AX13" s="2272"/>
      <c r="AY13" s="2272"/>
      <c r="AZ13" s="2272"/>
      <c r="BA13" s="2272"/>
      <c r="BB13" s="2272"/>
      <c r="BC13" s="2272"/>
      <c r="BD13" s="2272"/>
      <c r="BE13" s="2272"/>
      <c r="BF13" s="2272"/>
      <c r="BG13" s="2272"/>
      <c r="BH13" s="2272"/>
      <c r="BI13" s="2272"/>
      <c r="BJ13" s="2272"/>
      <c r="BK13" s="2272"/>
      <c r="BL13" s="2272"/>
      <c r="BM13" s="2272"/>
      <c r="BN13" s="2272"/>
      <c r="BO13" s="2272"/>
      <c r="BP13" s="2272"/>
      <c r="BQ13" s="2272"/>
      <c r="BR13" s="2272"/>
      <c r="BS13" s="2273"/>
      <c r="BT13" s="2189" t="s">
        <v>991</v>
      </c>
      <c r="BU13" s="2268"/>
      <c r="BV13" s="2189" t="s">
        <v>992</v>
      </c>
      <c r="BW13" s="2268"/>
      <c r="BX13" s="2189" t="s">
        <v>993</v>
      </c>
      <c r="BY13" s="2268"/>
      <c r="BZ13" s="2189" t="s">
        <v>994</v>
      </c>
      <c r="CA13" s="2268"/>
      <c r="CB13" s="2189" t="s">
        <v>995</v>
      </c>
      <c r="CC13" s="2268"/>
      <c r="CD13" s="2189" t="s">
        <v>996</v>
      </c>
      <c r="CE13" s="2268"/>
      <c r="CF13" s="2189" t="s">
        <v>997</v>
      </c>
      <c r="CG13" s="2268"/>
      <c r="CH13" s="2270" t="s">
        <v>998</v>
      </c>
      <c r="CI13" s="2274"/>
      <c r="CJ13" s="2274"/>
      <c r="CK13" s="2271"/>
      <c r="CL13" s="2280"/>
      <c r="CM13" s="2272"/>
      <c r="CN13" s="2272"/>
      <c r="CO13" s="2272"/>
      <c r="CP13" s="2272"/>
      <c r="CQ13" s="2272"/>
      <c r="CR13" s="2272"/>
      <c r="CS13" s="2272"/>
      <c r="CT13" s="2272"/>
      <c r="CU13" s="2272"/>
      <c r="CV13" s="2272"/>
      <c r="CW13" s="2272"/>
      <c r="CX13" s="2273"/>
      <c r="CY13" s="2189" t="s">
        <v>999</v>
      </c>
      <c r="CZ13" s="2268"/>
      <c r="DA13" s="2189" t="s">
        <v>1000</v>
      </c>
      <c r="DB13" s="2268"/>
      <c r="DC13" s="2189" t="s">
        <v>1001</v>
      </c>
      <c r="DD13" s="2268"/>
      <c r="DE13" s="2189" t="s">
        <v>1002</v>
      </c>
      <c r="DF13" s="2268"/>
      <c r="DG13" s="2270" t="s">
        <v>1003</v>
      </c>
      <c r="DH13" s="2274"/>
      <c r="DI13" s="2274"/>
      <c r="DJ13" s="2271"/>
      <c r="DK13" s="2280"/>
      <c r="DL13" s="2272"/>
      <c r="DM13" s="2272"/>
      <c r="DN13" s="2272"/>
      <c r="DO13" s="2272"/>
      <c r="DP13" s="2272"/>
      <c r="DQ13" s="2272"/>
      <c r="DR13" s="2272"/>
      <c r="DS13" s="2272"/>
      <c r="DT13" s="2272"/>
      <c r="DU13" s="2272"/>
      <c r="DV13" s="2272"/>
      <c r="DW13" s="2272"/>
      <c r="DX13" s="2272"/>
      <c r="DY13" s="2272"/>
      <c r="DZ13" s="2272"/>
      <c r="EA13" s="2272"/>
      <c r="EB13" s="2272"/>
      <c r="EC13" s="2272"/>
      <c r="ED13" s="2272"/>
      <c r="EE13" s="2272"/>
      <c r="EF13" s="2272"/>
      <c r="EG13" s="2272"/>
      <c r="EH13" s="2272"/>
      <c r="EI13" s="2272"/>
      <c r="EJ13" s="2272"/>
      <c r="EK13" s="2272"/>
      <c r="EL13" s="2272"/>
      <c r="EM13" s="2272"/>
      <c r="EN13" s="2272"/>
      <c r="EO13" s="2272"/>
      <c r="EP13" s="2272"/>
      <c r="EQ13" s="2272"/>
      <c r="ER13" s="2272"/>
      <c r="ES13" s="2272"/>
      <c r="ET13" s="2272"/>
      <c r="EU13" s="2272"/>
      <c r="EV13" s="2272"/>
      <c r="EW13" s="2272"/>
      <c r="EX13" s="2272"/>
      <c r="EY13" s="2272"/>
      <c r="EZ13" s="2272"/>
      <c r="FA13" s="2272"/>
      <c r="FB13" s="2272"/>
      <c r="FC13" s="2272"/>
      <c r="FD13" s="2272"/>
      <c r="FE13" s="2272"/>
      <c r="FF13" s="2272"/>
      <c r="FG13" s="2272"/>
      <c r="FH13" s="2272"/>
      <c r="FI13" s="2272"/>
      <c r="FJ13" s="2272"/>
      <c r="FK13" s="2272"/>
      <c r="FL13" s="2272"/>
      <c r="FM13" s="2272"/>
      <c r="FN13" s="2272"/>
      <c r="FO13" s="2272"/>
      <c r="FP13" s="2272"/>
      <c r="FQ13" s="2272"/>
      <c r="FR13" s="2272"/>
      <c r="FS13" s="2272"/>
      <c r="FT13" s="2272"/>
      <c r="FU13" s="2272"/>
      <c r="FV13" s="2272"/>
      <c r="FW13" s="2278"/>
      <c r="FX13" s="768"/>
    </row>
    <row customHeight="1" ht="36">
      <c r="D14" s="944"/>
      <c r="E14" s="943"/>
      <c r="F14" s="2057"/>
      <c r="G14" s="2057"/>
      <c r="H14" s="2291"/>
      <c r="I14" s="2291"/>
      <c r="J14" s="2290"/>
      <c r="K14" s="2290"/>
      <c r="L14" s="2290"/>
      <c r="M14" s="2290"/>
      <c r="N14" s="2290"/>
      <c r="O14" s="2189" t="s">
        <v>1004</v>
      </c>
      <c r="P14" s="2268"/>
      <c r="Q14" s="2189" t="s">
        <v>1005</v>
      </c>
      <c r="R14" s="2268"/>
      <c r="S14" s="2190"/>
      <c r="T14" s="2063"/>
      <c r="U14" s="2189" t="s">
        <v>737</v>
      </c>
      <c r="V14" s="2268"/>
      <c r="W14" s="2189" t="s">
        <v>740</v>
      </c>
      <c r="X14" s="2268"/>
      <c r="Y14" s="2189" t="s">
        <v>737</v>
      </c>
      <c r="Z14" s="2268"/>
      <c r="AA14" s="2189" t="s">
        <v>747</v>
      </c>
      <c r="AB14" s="2268"/>
      <c r="AC14" s="2272"/>
      <c r="AD14" s="2272"/>
      <c r="AE14" s="2272"/>
      <c r="AF14" s="2272"/>
      <c r="AG14" s="2272"/>
      <c r="AH14" s="2272"/>
      <c r="AI14" s="2272"/>
      <c r="AJ14" s="2272"/>
      <c r="AK14" s="2272"/>
      <c r="AL14" s="2272"/>
      <c r="AM14" s="2272"/>
      <c r="AN14" s="2272"/>
      <c r="AO14" s="2272"/>
      <c r="AP14" s="2272"/>
      <c r="AQ14" s="2272"/>
      <c r="AR14" s="2272"/>
      <c r="AS14" s="2272"/>
      <c r="AT14" s="2272"/>
      <c r="AU14" s="2272"/>
      <c r="AV14" s="2272"/>
      <c r="AW14" s="2272"/>
      <c r="AX14" s="2272"/>
      <c r="AY14" s="2272"/>
      <c r="AZ14" s="2272"/>
      <c r="BA14" s="2272"/>
      <c r="BB14" s="2272"/>
      <c r="BC14" s="2272"/>
      <c r="BD14" s="2272"/>
      <c r="BE14" s="2272"/>
      <c r="BF14" s="2272"/>
      <c r="BG14" s="2272"/>
      <c r="BH14" s="2272"/>
      <c r="BI14" s="2272"/>
      <c r="BJ14" s="2272"/>
      <c r="BK14" s="2272"/>
      <c r="BL14" s="2272"/>
      <c r="BM14" s="2272"/>
      <c r="BN14" s="2272"/>
      <c r="BO14" s="2272"/>
      <c r="BP14" s="2272"/>
      <c r="BQ14" s="2272"/>
      <c r="BR14" s="2272"/>
      <c r="BS14" s="2273"/>
      <c r="BT14" s="2190"/>
      <c r="BU14" s="2063"/>
      <c r="BV14" s="2190"/>
      <c r="BW14" s="2063"/>
      <c r="BX14" s="2190"/>
      <c r="BY14" s="2063"/>
      <c r="BZ14" s="2190"/>
      <c r="CA14" s="2063"/>
      <c r="CB14" s="2190"/>
      <c r="CC14" s="2063"/>
      <c r="CD14" s="2190"/>
      <c r="CE14" s="2063"/>
      <c r="CF14" s="2190"/>
      <c r="CG14" s="2063"/>
      <c r="CH14" s="2189" t="s">
        <v>1006</v>
      </c>
      <c r="CI14" s="2268"/>
      <c r="CJ14" s="2189" t="s">
        <v>1007</v>
      </c>
      <c r="CK14" s="2268"/>
      <c r="CL14" s="2280"/>
      <c r="CM14" s="2272"/>
      <c r="CN14" s="2272"/>
      <c r="CO14" s="2272"/>
      <c r="CP14" s="2272"/>
      <c r="CQ14" s="2272"/>
      <c r="CR14" s="2272"/>
      <c r="CS14" s="2272"/>
      <c r="CT14" s="2272"/>
      <c r="CU14" s="2272"/>
      <c r="CV14" s="2272"/>
      <c r="CW14" s="2272"/>
      <c r="CX14" s="2273"/>
      <c r="CY14" s="2190"/>
      <c r="CZ14" s="2063"/>
      <c r="DA14" s="2190"/>
      <c r="DB14" s="2063"/>
      <c r="DC14" s="2190"/>
      <c r="DD14" s="2063"/>
      <c r="DE14" s="2190"/>
      <c r="DF14" s="2063"/>
      <c r="DG14" s="2189" t="s">
        <v>1008</v>
      </c>
      <c r="DH14" s="2268"/>
      <c r="DI14" s="2189" t="s">
        <v>1009</v>
      </c>
      <c r="DJ14" s="2268"/>
      <c r="DK14" s="2280"/>
      <c r="DL14" s="2272"/>
      <c r="DM14" s="2272"/>
      <c r="DN14" s="2272"/>
      <c r="DO14" s="2272"/>
      <c r="DP14" s="2272"/>
      <c r="DQ14" s="2272"/>
      <c r="DR14" s="2272"/>
      <c r="DS14" s="2272"/>
      <c r="DT14" s="2272"/>
      <c r="DU14" s="2272"/>
      <c r="DV14" s="2272"/>
      <c r="DW14" s="2272"/>
      <c r="DX14" s="2272"/>
      <c r="DY14" s="2272"/>
      <c r="DZ14" s="2272"/>
      <c r="EA14" s="2272"/>
      <c r="EB14" s="2272"/>
      <c r="EC14" s="2272"/>
      <c r="ED14" s="2272"/>
      <c r="EE14" s="2272"/>
      <c r="EF14" s="2272"/>
      <c r="EG14" s="2272"/>
      <c r="EH14" s="2272"/>
      <c r="EI14" s="2272"/>
      <c r="EJ14" s="2272"/>
      <c r="EK14" s="2272"/>
      <c r="EL14" s="2272"/>
      <c r="EM14" s="2272"/>
      <c r="EN14" s="2272"/>
      <c r="EO14" s="2272"/>
      <c r="EP14" s="2272"/>
      <c r="EQ14" s="2272"/>
      <c r="ER14" s="2272"/>
      <c r="ES14" s="2272"/>
      <c r="ET14" s="2272"/>
      <c r="EU14" s="2272"/>
      <c r="EV14" s="2272"/>
      <c r="EW14" s="2272"/>
      <c r="EX14" s="2272"/>
      <c r="EY14" s="2272"/>
      <c r="EZ14" s="2272"/>
      <c r="FA14" s="2272"/>
      <c r="FB14" s="2272"/>
      <c r="FC14" s="2272"/>
      <c r="FD14" s="2272"/>
      <c r="FE14" s="2272"/>
      <c r="FF14" s="2272"/>
      <c r="FG14" s="2272"/>
      <c r="FH14" s="2272"/>
      <c r="FI14" s="2272"/>
      <c r="FJ14" s="2272"/>
      <c r="FK14" s="2272"/>
      <c r="FL14" s="2272"/>
      <c r="FM14" s="2272"/>
      <c r="FN14" s="2272"/>
      <c r="FO14" s="2272"/>
      <c r="FP14" s="2272"/>
      <c r="FQ14" s="2272"/>
      <c r="FR14" s="2272"/>
      <c r="FS14" s="2272"/>
      <c r="FT14" s="2272"/>
      <c r="FU14" s="2272"/>
      <c r="FV14" s="2272"/>
      <c r="FW14" s="2278"/>
      <c r="FX14" s="768"/>
    </row>
    <row customHeight="1" ht="36">
      <c r="D15" s="944"/>
      <c r="E15" s="943"/>
      <c r="F15" s="2057"/>
      <c r="G15" s="2057"/>
      <c r="H15" s="2291"/>
      <c r="I15" s="2291"/>
      <c r="J15" s="2290"/>
      <c r="K15" s="2290"/>
      <c r="L15" s="2290"/>
      <c r="M15" s="2290"/>
      <c r="N15" s="2290"/>
      <c r="O15" s="2191"/>
      <c r="P15" s="2269"/>
      <c r="Q15" s="2191"/>
      <c r="R15" s="2269"/>
      <c r="S15" s="2191"/>
      <c r="T15" s="2269"/>
      <c r="U15" s="2191"/>
      <c r="V15" s="2269"/>
      <c r="W15" s="2191"/>
      <c r="X15" s="2269"/>
      <c r="Y15" s="2191"/>
      <c r="Z15" s="2269"/>
      <c r="AA15" s="2191"/>
      <c r="AB15" s="2269"/>
      <c r="AC15" s="2272"/>
      <c r="AD15" s="2272"/>
      <c r="AE15" s="2272"/>
      <c r="AF15" s="2272"/>
      <c r="AG15" s="2272"/>
      <c r="AH15" s="2272"/>
      <c r="AI15" s="2272"/>
      <c r="AJ15" s="2272"/>
      <c r="AK15" s="2272"/>
      <c r="AL15" s="2272"/>
      <c r="AM15" s="2272"/>
      <c r="AN15" s="2272"/>
      <c r="AO15" s="2272"/>
      <c r="AP15" s="2272"/>
      <c r="AQ15" s="2272"/>
      <c r="AR15" s="2272"/>
      <c r="AS15" s="2272"/>
      <c r="AT15" s="2272"/>
      <c r="AU15" s="2272"/>
      <c r="AV15" s="2272"/>
      <c r="AW15" s="2272"/>
      <c r="AX15" s="2272"/>
      <c r="AY15" s="2272"/>
      <c r="AZ15" s="2272"/>
      <c r="BA15" s="2272"/>
      <c r="BB15" s="2272"/>
      <c r="BC15" s="2272"/>
      <c r="BD15" s="2272"/>
      <c r="BE15" s="2272"/>
      <c r="BF15" s="2272"/>
      <c r="BG15" s="2272"/>
      <c r="BH15" s="2272"/>
      <c r="BI15" s="2272"/>
      <c r="BJ15" s="2272"/>
      <c r="BK15" s="2272"/>
      <c r="BL15" s="2272"/>
      <c r="BM15" s="2272"/>
      <c r="BN15" s="2272"/>
      <c r="BO15" s="2272"/>
      <c r="BP15" s="2272"/>
      <c r="BQ15" s="2272"/>
      <c r="BR15" s="2272"/>
      <c r="BS15" s="2273"/>
      <c r="BT15" s="2191"/>
      <c r="BU15" s="2269"/>
      <c r="BV15" s="2191"/>
      <c r="BW15" s="2269"/>
      <c r="BX15" s="2191"/>
      <c r="BY15" s="2269"/>
      <c r="BZ15" s="2191"/>
      <c r="CA15" s="2269"/>
      <c r="CB15" s="2191"/>
      <c r="CC15" s="2269"/>
      <c r="CD15" s="2191"/>
      <c r="CE15" s="2269"/>
      <c r="CF15" s="2191"/>
      <c r="CG15" s="2269"/>
      <c r="CH15" s="2191"/>
      <c r="CI15" s="2269"/>
      <c r="CJ15" s="2191"/>
      <c r="CK15" s="2269"/>
      <c r="CL15" s="2280"/>
      <c r="CM15" s="2272"/>
      <c r="CN15" s="2272"/>
      <c r="CO15" s="2272"/>
      <c r="CP15" s="2272"/>
      <c r="CQ15" s="2272"/>
      <c r="CR15" s="2272"/>
      <c r="CS15" s="2272"/>
      <c r="CT15" s="2272"/>
      <c r="CU15" s="2272"/>
      <c r="CV15" s="2272"/>
      <c r="CW15" s="2272"/>
      <c r="CX15" s="2273"/>
      <c r="CY15" s="2191"/>
      <c r="CZ15" s="2269"/>
      <c r="DA15" s="2191"/>
      <c r="DB15" s="2269"/>
      <c r="DC15" s="2191"/>
      <c r="DD15" s="2269"/>
      <c r="DE15" s="2191"/>
      <c r="DF15" s="2269"/>
      <c r="DG15" s="2191"/>
      <c r="DH15" s="2269"/>
      <c r="DI15" s="2191"/>
      <c r="DJ15" s="2269"/>
      <c r="DK15" s="2280"/>
      <c r="DL15" s="2272"/>
      <c r="DM15" s="2272"/>
      <c r="DN15" s="2272"/>
      <c r="DO15" s="2272"/>
      <c r="DP15" s="2272"/>
      <c r="DQ15" s="2272"/>
      <c r="DR15" s="2272"/>
      <c r="DS15" s="2272"/>
      <c r="DT15" s="2272"/>
      <c r="DU15" s="2272"/>
      <c r="DV15" s="2272"/>
      <c r="DW15" s="2272"/>
      <c r="DX15" s="2272"/>
      <c r="DY15" s="2272"/>
      <c r="DZ15" s="2272"/>
      <c r="EA15" s="2272"/>
      <c r="EB15" s="2272"/>
      <c r="EC15" s="2272"/>
      <c r="ED15" s="2272"/>
      <c r="EE15" s="2272"/>
      <c r="EF15" s="2272"/>
      <c r="EG15" s="2272"/>
      <c r="EH15" s="2272"/>
      <c r="EI15" s="2272"/>
      <c r="EJ15" s="2272"/>
      <c r="EK15" s="2272"/>
      <c r="EL15" s="2272"/>
      <c r="EM15" s="2272"/>
      <c r="EN15" s="2272"/>
      <c r="EO15" s="2272"/>
      <c r="EP15" s="2272"/>
      <c r="EQ15" s="2272"/>
      <c r="ER15" s="2272"/>
      <c r="ES15" s="2272"/>
      <c r="ET15" s="2272"/>
      <c r="EU15" s="2272"/>
      <c r="EV15" s="2272"/>
      <c r="EW15" s="2272"/>
      <c r="EX15" s="2272"/>
      <c r="EY15" s="2272"/>
      <c r="EZ15" s="2272"/>
      <c r="FA15" s="2272"/>
      <c r="FB15" s="2272"/>
      <c r="FC15" s="2272"/>
      <c r="FD15" s="2272"/>
      <c r="FE15" s="2272"/>
      <c r="FF15" s="2272"/>
      <c r="FG15" s="2272"/>
      <c r="FH15" s="2272"/>
      <c r="FI15" s="2272"/>
      <c r="FJ15" s="2272"/>
      <c r="FK15" s="2272"/>
      <c r="FL15" s="2272"/>
      <c r="FM15" s="2272"/>
      <c r="FN15" s="2272"/>
      <c r="FO15" s="2272"/>
      <c r="FP15" s="2272"/>
      <c r="FQ15" s="2272"/>
      <c r="FR15" s="2272"/>
      <c r="FS15" s="2272"/>
      <c r="FT15" s="2272"/>
      <c r="FU15" s="2272"/>
      <c r="FV15" s="2272"/>
      <c r="FW15" s="2278"/>
      <c r="FX15" s="768"/>
    </row>
    <row customHeight="1" ht="12">
      <c r="D16" s="944"/>
      <c r="E16" s="943"/>
      <c r="F16" s="2057"/>
      <c r="G16" s="2057"/>
      <c r="H16" s="2291"/>
      <c r="I16" s="2291"/>
      <c r="J16" s="2290"/>
      <c r="K16" s="2290"/>
      <c r="L16" s="2290"/>
      <c r="M16" s="2290"/>
      <c r="N16" s="2290"/>
      <c r="O16" s="2270" t="s">
        <v>727</v>
      </c>
      <c r="P16" s="2271"/>
      <c r="Q16" s="2270" t="s">
        <v>729</v>
      </c>
      <c r="R16" s="2271"/>
      <c r="S16" s="2270" t="s">
        <v>733</v>
      </c>
      <c r="T16" s="2271"/>
      <c r="U16" s="2270" t="s">
        <v>738</v>
      </c>
      <c r="V16" s="2271"/>
      <c r="W16" s="2270" t="s">
        <v>741</v>
      </c>
      <c r="X16" s="2271"/>
      <c r="Y16" s="2270" t="s">
        <v>745</v>
      </c>
      <c r="Z16" s="2271"/>
      <c r="AA16" s="2270" t="s">
        <v>748</v>
      </c>
      <c r="AB16" s="2271"/>
      <c r="AC16" s="2272"/>
      <c r="AD16" s="2272"/>
      <c r="AE16" s="2272"/>
      <c r="AF16" s="2272"/>
      <c r="AG16" s="2272"/>
      <c r="AH16" s="2272"/>
      <c r="AI16" s="2272"/>
      <c r="AJ16" s="2272"/>
      <c r="AK16" s="2272"/>
      <c r="AL16" s="2272"/>
      <c r="AM16" s="2272"/>
      <c r="AN16" s="2272"/>
      <c r="AO16" s="2272"/>
      <c r="AP16" s="2272"/>
      <c r="AQ16" s="2272"/>
      <c r="AR16" s="2272"/>
      <c r="AS16" s="2272"/>
      <c r="AT16" s="2272"/>
      <c r="AU16" s="2272"/>
      <c r="AV16" s="2272"/>
      <c r="AW16" s="2272"/>
      <c r="AX16" s="2272"/>
      <c r="AY16" s="2272"/>
      <c r="AZ16" s="2272"/>
      <c r="BA16" s="2272"/>
      <c r="BB16" s="2272"/>
      <c r="BC16" s="2272"/>
      <c r="BD16" s="2272"/>
      <c r="BE16" s="2272"/>
      <c r="BF16" s="2272"/>
      <c r="BG16" s="2272"/>
      <c r="BH16" s="2272"/>
      <c r="BI16" s="2272"/>
      <c r="BJ16" s="2272"/>
      <c r="BK16" s="2272"/>
      <c r="BL16" s="2272"/>
      <c r="BM16" s="2272"/>
      <c r="BN16" s="2272"/>
      <c r="BO16" s="2272"/>
      <c r="BP16" s="2272"/>
      <c r="BQ16" s="2272"/>
      <c r="BR16" s="2272"/>
      <c r="BS16" s="2273"/>
      <c r="BT16" s="2270" t="s">
        <v>545</v>
      </c>
      <c r="BU16" s="2271"/>
      <c r="BV16" s="2270" t="s">
        <v>545</v>
      </c>
      <c r="BW16" s="2271"/>
      <c r="BX16" s="2270" t="s">
        <v>545</v>
      </c>
      <c r="BY16" s="2271"/>
      <c r="BZ16" s="2270" t="s">
        <v>545</v>
      </c>
      <c r="CA16" s="2271"/>
      <c r="CB16" s="2270" t="s">
        <v>1010</v>
      </c>
      <c r="CC16" s="2271"/>
      <c r="CD16" s="2270" t="s">
        <v>545</v>
      </c>
      <c r="CE16" s="2271"/>
      <c r="CF16" s="2270" t="s">
        <v>1011</v>
      </c>
      <c r="CG16" s="2271"/>
      <c r="CH16" s="2270" t="s">
        <v>1012</v>
      </c>
      <c r="CI16" s="2271"/>
      <c r="CJ16" s="2270" t="s">
        <v>1012</v>
      </c>
      <c r="CK16" s="2271"/>
      <c r="CL16" s="2280"/>
      <c r="CM16" s="2272"/>
      <c r="CN16" s="2272"/>
      <c r="CO16" s="2272"/>
      <c r="CP16" s="2272"/>
      <c r="CQ16" s="2272"/>
      <c r="CR16" s="2272"/>
      <c r="CS16" s="2272"/>
      <c r="CT16" s="2272"/>
      <c r="CU16" s="2272"/>
      <c r="CV16" s="2272"/>
      <c r="CW16" s="2272"/>
      <c r="CX16" s="2273"/>
      <c r="CY16" s="2189" t="s">
        <v>545</v>
      </c>
      <c r="CZ16" s="2268"/>
      <c r="DA16" s="2189" t="s">
        <v>545</v>
      </c>
      <c r="DB16" s="2268"/>
      <c r="DC16" s="2189" t="s">
        <v>545</v>
      </c>
      <c r="DD16" s="2268"/>
      <c r="DE16" s="2270" t="s">
        <v>1010</v>
      </c>
      <c r="DF16" s="2271"/>
      <c r="DG16" s="2270" t="s">
        <v>1013</v>
      </c>
      <c r="DH16" s="2271"/>
      <c r="DI16" s="2270" t="s">
        <v>1013</v>
      </c>
      <c r="DJ16" s="2271"/>
      <c r="DK16" s="2280"/>
      <c r="DL16" s="2272"/>
      <c r="DM16" s="2272"/>
      <c r="DN16" s="2272"/>
      <c r="DO16" s="2272"/>
      <c r="DP16" s="2272"/>
      <c r="DQ16" s="2272"/>
      <c r="DR16" s="2272"/>
      <c r="DS16" s="2272"/>
      <c r="DT16" s="2272"/>
      <c r="DU16" s="2272"/>
      <c r="DV16" s="2272"/>
      <c r="DW16" s="2272"/>
      <c r="DX16" s="2272"/>
      <c r="DY16" s="2272"/>
      <c r="DZ16" s="2272"/>
      <c r="EA16" s="2272"/>
      <c r="EB16" s="2272"/>
      <c r="EC16" s="2272"/>
      <c r="ED16" s="2272"/>
      <c r="EE16" s="2272"/>
      <c r="EF16" s="2272"/>
      <c r="EG16" s="2272"/>
      <c r="EH16" s="2272"/>
      <c r="EI16" s="2272"/>
      <c r="EJ16" s="2272"/>
      <c r="EK16" s="2272"/>
      <c r="EL16" s="2272"/>
      <c r="EM16" s="2272"/>
      <c r="EN16" s="2272"/>
      <c r="EO16" s="2272"/>
      <c r="EP16" s="2272"/>
      <c r="EQ16" s="2272"/>
      <c r="ER16" s="2272"/>
      <c r="ES16" s="2272"/>
      <c r="ET16" s="2272"/>
      <c r="EU16" s="2272"/>
      <c r="EV16" s="2272"/>
      <c r="EW16" s="2272"/>
      <c r="EX16" s="2272"/>
      <c r="EY16" s="2272"/>
      <c r="EZ16" s="2272"/>
      <c r="FA16" s="2272"/>
      <c r="FB16" s="2272"/>
      <c r="FC16" s="2272"/>
      <c r="FD16" s="2272"/>
      <c r="FE16" s="2272"/>
      <c r="FF16" s="2272"/>
      <c r="FG16" s="2272"/>
      <c r="FH16" s="2272"/>
      <c r="FI16" s="2272"/>
      <c r="FJ16" s="2272"/>
      <c r="FK16" s="2272"/>
      <c r="FL16" s="2272"/>
      <c r="FM16" s="2272"/>
      <c r="FN16" s="2272"/>
      <c r="FO16" s="2272"/>
      <c r="FP16" s="2272"/>
      <c r="FQ16" s="2272"/>
      <c r="FR16" s="2272"/>
      <c r="FS16" s="2272"/>
      <c r="FT16" s="2272"/>
      <c r="FU16" s="2272"/>
      <c r="FV16" s="2272"/>
      <c r="FW16" s="2278"/>
      <c r="FX16" s="768"/>
    </row>
    <row customHeight="1" ht="15">
      <c r="E17" s="943"/>
      <c r="F17" s="2057"/>
      <c r="G17" s="2057"/>
      <c r="H17" s="2291"/>
      <c r="I17" s="2291"/>
      <c r="J17" s="2290"/>
      <c r="K17" s="2290"/>
      <c r="L17" s="2290"/>
      <c r="M17" s="2290"/>
      <c r="N17" s="2290"/>
      <c r="O17" s="1201" t="s">
        <v>1014</v>
      </c>
      <c r="P17" s="1201" t="s">
        <v>1015</v>
      </c>
      <c r="Q17" s="1201" t="s">
        <v>1014</v>
      </c>
      <c r="R17" s="1201" t="s">
        <v>1015</v>
      </c>
      <c r="S17" s="1201" t="s">
        <v>1014</v>
      </c>
      <c r="T17" s="1201" t="s">
        <v>1015</v>
      </c>
      <c r="U17" s="1201" t="s">
        <v>1014</v>
      </c>
      <c r="V17" s="1201" t="s">
        <v>1015</v>
      </c>
      <c r="W17" s="1201" t="s">
        <v>1014</v>
      </c>
      <c r="X17" s="1201" t="s">
        <v>1015</v>
      </c>
      <c r="Y17" s="1201" t="s">
        <v>1014</v>
      </c>
      <c r="Z17" s="1201" t="s">
        <v>1015</v>
      </c>
      <c r="AA17" s="1201" t="s">
        <v>1014</v>
      </c>
      <c r="AB17" s="1201" t="s">
        <v>1015</v>
      </c>
      <c r="AC17" s="2272"/>
      <c r="AD17" s="2272"/>
      <c r="AE17" s="2272"/>
      <c r="AF17" s="2272"/>
      <c r="AG17" s="2272"/>
      <c r="AH17" s="2272"/>
      <c r="AI17" s="2272"/>
      <c r="AJ17" s="2272"/>
      <c r="AK17" s="2272"/>
      <c r="AL17" s="2272"/>
      <c r="AM17" s="2272"/>
      <c r="AN17" s="2272"/>
      <c r="AO17" s="2272"/>
      <c r="AP17" s="2272"/>
      <c r="AQ17" s="2272"/>
      <c r="AR17" s="2272"/>
      <c r="AS17" s="2272"/>
      <c r="AT17" s="2272"/>
      <c r="AU17" s="2272"/>
      <c r="AV17" s="2272"/>
      <c r="AW17" s="2272"/>
      <c r="AX17" s="2272"/>
      <c r="AY17" s="2272"/>
      <c r="AZ17" s="2272"/>
      <c r="BA17" s="2272"/>
      <c r="BB17" s="2272"/>
      <c r="BC17" s="2272"/>
      <c r="BD17" s="2272"/>
      <c r="BE17" s="2272"/>
      <c r="BF17" s="2272"/>
      <c r="BG17" s="2272"/>
      <c r="BH17" s="2272"/>
      <c r="BI17" s="2272"/>
      <c r="BJ17" s="2272"/>
      <c r="BK17" s="2272"/>
      <c r="BL17" s="2272"/>
      <c r="BM17" s="2272"/>
      <c r="BN17" s="2272"/>
      <c r="BO17" s="2272"/>
      <c r="BP17" s="2272"/>
      <c r="BQ17" s="2272"/>
      <c r="BR17" s="2272"/>
      <c r="BS17" s="2273"/>
      <c r="BT17" s="1201" t="s">
        <v>1014</v>
      </c>
      <c r="BU17" s="1201" t="s">
        <v>1015</v>
      </c>
      <c r="BV17" s="1201" t="s">
        <v>1014</v>
      </c>
      <c r="BW17" s="1201" t="s">
        <v>1015</v>
      </c>
      <c r="BX17" s="1201" t="s">
        <v>1014</v>
      </c>
      <c r="BY17" s="1201" t="s">
        <v>1015</v>
      </c>
      <c r="BZ17" s="1201" t="s">
        <v>1014</v>
      </c>
      <c r="CA17" s="1201" t="s">
        <v>1015</v>
      </c>
      <c r="CB17" s="1201" t="s">
        <v>1014</v>
      </c>
      <c r="CC17" s="1201" t="s">
        <v>1015</v>
      </c>
      <c r="CD17" s="1201" t="s">
        <v>1014</v>
      </c>
      <c r="CE17" s="1201" t="s">
        <v>1015</v>
      </c>
      <c r="CF17" s="1201" t="s">
        <v>1014</v>
      </c>
      <c r="CG17" s="1201" t="s">
        <v>1015</v>
      </c>
      <c r="CH17" s="1201" t="s">
        <v>1014</v>
      </c>
      <c r="CI17" s="1201" t="s">
        <v>1015</v>
      </c>
      <c r="CJ17" s="1201" t="s">
        <v>1014</v>
      </c>
      <c r="CK17" s="1201" t="s">
        <v>1015</v>
      </c>
      <c r="CL17" s="2280"/>
      <c r="CM17" s="2272"/>
      <c r="CN17" s="2272"/>
      <c r="CO17" s="2272"/>
      <c r="CP17" s="2272"/>
      <c r="CQ17" s="2272"/>
      <c r="CR17" s="2272"/>
      <c r="CS17" s="2272"/>
      <c r="CT17" s="2272"/>
      <c r="CU17" s="2272"/>
      <c r="CV17" s="2272"/>
      <c r="CW17" s="2272"/>
      <c r="CX17" s="2273"/>
      <c r="CY17" s="1201" t="s">
        <v>1014</v>
      </c>
      <c r="CZ17" s="1201" t="s">
        <v>1015</v>
      </c>
      <c r="DA17" s="1201" t="s">
        <v>1014</v>
      </c>
      <c r="DB17" s="1201" t="s">
        <v>1015</v>
      </c>
      <c r="DC17" s="1201" t="s">
        <v>1014</v>
      </c>
      <c r="DD17" s="1201" t="s">
        <v>1015</v>
      </c>
      <c r="DE17" s="1201" t="s">
        <v>1014</v>
      </c>
      <c r="DF17" s="1201" t="s">
        <v>1015</v>
      </c>
      <c r="DG17" s="1201" t="s">
        <v>1014</v>
      </c>
      <c r="DH17" s="1201" t="s">
        <v>1015</v>
      </c>
      <c r="DI17" s="1201" t="s">
        <v>1014</v>
      </c>
      <c r="DJ17" s="1201" t="s">
        <v>1015</v>
      </c>
      <c r="DK17" s="2280"/>
      <c r="DL17" s="2272"/>
      <c r="DM17" s="2272"/>
      <c r="DN17" s="2272"/>
      <c r="DO17" s="2272"/>
      <c r="DP17" s="2272"/>
      <c r="DQ17" s="2272"/>
      <c r="DR17" s="2272"/>
      <c r="DS17" s="2272"/>
      <c r="DT17" s="2272"/>
      <c r="DU17" s="2272"/>
      <c r="DV17" s="2272"/>
      <c r="DW17" s="2272"/>
      <c r="DX17" s="2272"/>
      <c r="DY17" s="2272"/>
      <c r="DZ17" s="2272"/>
      <c r="EA17" s="2272"/>
      <c r="EB17" s="2272"/>
      <c r="EC17" s="2272"/>
      <c r="ED17" s="2272"/>
      <c r="EE17" s="2272"/>
      <c r="EF17" s="2272"/>
      <c r="EG17" s="2272"/>
      <c r="EH17" s="2272"/>
      <c r="EI17" s="2272"/>
      <c r="EJ17" s="2272"/>
      <c r="EK17" s="2272"/>
      <c r="EL17" s="2272"/>
      <c r="EM17" s="2272"/>
      <c r="EN17" s="2272"/>
      <c r="EO17" s="2272"/>
      <c r="EP17" s="2272"/>
      <c r="EQ17" s="2272"/>
      <c r="ER17" s="2272"/>
      <c r="ES17" s="2272"/>
      <c r="ET17" s="2272"/>
      <c r="EU17" s="2272"/>
      <c r="EV17" s="2272"/>
      <c r="EW17" s="2272"/>
      <c r="EX17" s="2272"/>
      <c r="EY17" s="2272"/>
      <c r="EZ17" s="2272"/>
      <c r="FA17" s="2272"/>
      <c r="FB17" s="2272"/>
      <c r="FC17" s="2272"/>
      <c r="FD17" s="2272"/>
      <c r="FE17" s="2272"/>
      <c r="FF17" s="2272"/>
      <c r="FG17" s="2272"/>
      <c r="FH17" s="2272"/>
      <c r="FI17" s="2272"/>
      <c r="FJ17" s="2272"/>
      <c r="FK17" s="2272"/>
      <c r="FL17" s="2272"/>
      <c r="FM17" s="2272"/>
      <c r="FN17" s="2272"/>
      <c r="FO17" s="2272"/>
      <c r="FP17" s="2272"/>
      <c r="FQ17" s="2272"/>
      <c r="FR17" s="2272"/>
      <c r="FS17" s="2272"/>
      <c r="FT17" s="2272"/>
      <c r="FU17" s="2272"/>
      <c r="FV17" s="2272"/>
      <c r="FW17" s="2279"/>
      <c r="FX17" s="768"/>
    </row>
    <row s="4449" customFormat="1" customHeight="1" ht="12" hidden="1">
      <c r="B18" s="929"/>
      <c r="E18" s="945"/>
      <c r="F18" s="1202"/>
      <c r="G18" s="1202"/>
      <c r="H18" s="1202"/>
      <c r="I18" s="1202"/>
      <c r="J18" s="1203"/>
      <c r="K18" s="1203"/>
      <c r="L18" s="1203"/>
      <c r="M18" s="1203"/>
      <c r="N18" s="1203"/>
      <c r="O18" s="1202"/>
      <c r="P18" s="1202"/>
      <c r="Q18" s="1202"/>
      <c r="R18" s="1202"/>
      <c r="S18" s="1202"/>
      <c r="T18" s="1202"/>
      <c r="U18" s="1204"/>
      <c r="V18" s="1204"/>
      <c r="W18" s="1204"/>
      <c r="X18" s="1204"/>
      <c r="Y18" s="1204"/>
      <c r="Z18" s="1204"/>
      <c r="AA18" s="1204"/>
      <c r="AB18" s="1202"/>
      <c r="AC18" s="1203"/>
      <c r="AD18" s="1203"/>
      <c r="AE18" s="1203"/>
      <c r="AF18" s="1203"/>
      <c r="AG18" s="1203"/>
      <c r="AH18" s="1203"/>
      <c r="AI18" s="1203"/>
      <c r="AJ18" s="1203"/>
      <c r="AK18" s="1203"/>
      <c r="AL18" s="1203"/>
      <c r="AM18" s="1203"/>
      <c r="AN18" s="1203"/>
      <c r="AO18" s="1203"/>
      <c r="AP18" s="1203"/>
      <c r="AQ18" s="1203"/>
      <c r="AR18" s="1203"/>
      <c r="AS18" s="1203"/>
      <c r="AT18" s="1203"/>
      <c r="AU18" s="1203"/>
      <c r="AV18" s="1203"/>
      <c r="AW18" s="1203"/>
      <c r="AX18" s="1203"/>
      <c r="AY18" s="1203"/>
      <c r="AZ18" s="1203"/>
      <c r="BA18" s="1203"/>
      <c r="BB18" s="1203"/>
      <c r="BC18" s="1203"/>
      <c r="BD18" s="1203"/>
      <c r="BE18" s="1203"/>
      <c r="BF18" s="1203"/>
      <c r="BG18" s="1203"/>
      <c r="BH18" s="1203"/>
      <c r="BI18" s="1203"/>
      <c r="BJ18" s="1203"/>
      <c r="BK18" s="1203"/>
      <c r="BL18" s="1203"/>
      <c r="BM18" s="1203"/>
      <c r="BN18" s="1203"/>
      <c r="BO18" s="1203"/>
      <c r="BP18" s="1203"/>
      <c r="BQ18" s="1203"/>
      <c r="BR18" s="1203"/>
      <c r="BS18" s="1203"/>
      <c r="BT18" s="1205"/>
      <c r="BU18" s="1205"/>
      <c r="BV18" s="1205"/>
      <c r="BW18" s="1205"/>
      <c r="BX18" s="1205"/>
      <c r="BY18" s="1205"/>
      <c r="BZ18" s="1205"/>
      <c r="CA18" s="1205"/>
      <c r="CB18" s="1205"/>
      <c r="CC18" s="1205"/>
      <c r="CD18" s="1205"/>
      <c r="CE18" s="1205"/>
      <c r="CF18" s="1205"/>
      <c r="CG18" s="1205"/>
      <c r="CH18" s="1205"/>
      <c r="CI18" s="1205"/>
      <c r="CJ18" s="1205"/>
      <c r="CK18" s="1205"/>
      <c r="CL18" s="1203"/>
      <c r="CM18" s="1203"/>
      <c r="CN18" s="1203"/>
      <c r="CO18" s="1203"/>
      <c r="CP18" s="1203"/>
      <c r="CQ18" s="1203"/>
      <c r="CR18" s="1203"/>
      <c r="CS18" s="1203"/>
      <c r="CT18" s="1203"/>
      <c r="CU18" s="1203"/>
      <c r="CV18" s="1203"/>
      <c r="CW18" s="1203"/>
      <c r="CX18" s="1203"/>
      <c r="CY18" s="1205"/>
      <c r="CZ18" s="1205"/>
      <c r="DA18" s="1205"/>
      <c r="DB18" s="1205"/>
      <c r="DC18" s="1205"/>
      <c r="DD18" s="1205"/>
      <c r="DE18" s="1205"/>
      <c r="DF18" s="1205"/>
      <c r="DG18" s="1205"/>
      <c r="DH18" s="1205"/>
      <c r="DI18" s="1205"/>
      <c r="DJ18" s="1205"/>
      <c r="DK18" s="1203"/>
      <c r="DL18" s="1203"/>
      <c r="DM18" s="1203"/>
      <c r="DN18" s="1203"/>
      <c r="DO18" s="1203"/>
      <c r="DP18" s="1203"/>
      <c r="DQ18" s="1203"/>
      <c r="DR18" s="1203"/>
      <c r="DS18" s="1203"/>
      <c r="DT18" s="1203"/>
      <c r="DU18" s="1203"/>
      <c r="DV18" s="1203"/>
      <c r="DW18" s="1203"/>
      <c r="DX18" s="1203"/>
      <c r="DY18" s="1203"/>
      <c r="DZ18" s="1203"/>
      <c r="EA18" s="1203"/>
      <c r="EB18" s="1203"/>
      <c r="EC18" s="1203"/>
      <c r="ED18" s="1203"/>
      <c r="EE18" s="1203"/>
      <c r="EF18" s="1203"/>
      <c r="EG18" s="1203"/>
      <c r="EH18" s="1203"/>
      <c r="EI18" s="1203"/>
      <c r="EJ18" s="1203"/>
      <c r="EK18" s="1203"/>
      <c r="EL18" s="1203"/>
      <c r="EM18" s="1203"/>
      <c r="EN18" s="1203"/>
      <c r="EO18" s="1203"/>
      <c r="EP18" s="1203"/>
      <c r="EQ18" s="1203"/>
      <c r="ER18" s="1203"/>
      <c r="ES18" s="1203"/>
      <c r="ET18" s="1203"/>
      <c r="EU18" s="1203"/>
      <c r="EV18" s="1203"/>
      <c r="EW18" s="1203"/>
      <c r="EX18" s="1203"/>
      <c r="EY18" s="1203"/>
      <c r="EZ18" s="1203"/>
      <c r="FA18" s="1203"/>
      <c r="FB18" s="1203"/>
      <c r="FC18" s="1203"/>
      <c r="FD18" s="1203"/>
      <c r="FE18" s="1203"/>
      <c r="FF18" s="1203"/>
      <c r="FG18" s="1203"/>
      <c r="FH18" s="1203"/>
      <c r="FI18" s="1203"/>
      <c r="FJ18" s="1203"/>
      <c r="FK18" s="1203"/>
      <c r="FL18" s="1203"/>
      <c r="FM18" s="1203"/>
      <c r="FN18" s="1203"/>
      <c r="FO18" s="1203"/>
      <c r="FP18" s="1203"/>
      <c r="FQ18" s="1203"/>
      <c r="FR18" s="1203"/>
      <c r="FS18" s="1203"/>
      <c r="FT18" s="1203"/>
      <c r="FU18" s="1203"/>
      <c r="FV18" s="1203"/>
      <c r="FW18" s="1202"/>
      <c r="FX18" s="1206"/>
    </row>
    <row s="4449" customFormat="1" customHeight="1" ht="11.25" hidden="1">
      <c r="B19" s="929"/>
      <c r="E19" s="945"/>
      <c r="F19" s="1202"/>
      <c r="G19" s="1202"/>
      <c r="H19" s="1202"/>
      <c r="I19" s="1202"/>
      <c r="J19" s="1202"/>
      <c r="K19" s="1202"/>
      <c r="L19" s="1202"/>
      <c r="M19" s="1202"/>
      <c r="N19" s="1202"/>
      <c r="O19" s="1202"/>
      <c r="P19" s="1202"/>
      <c r="Q19" s="1202"/>
      <c r="R19" s="1202"/>
      <c r="S19" s="1202"/>
      <c r="T19" s="1202"/>
      <c r="U19" s="1204"/>
      <c r="V19" s="1204"/>
      <c r="W19" s="1204"/>
      <c r="X19" s="1204"/>
      <c r="Y19" s="1204"/>
      <c r="Z19" s="1204"/>
      <c r="AA19" s="1204"/>
      <c r="AB19" s="1202"/>
      <c r="AC19" s="1202"/>
      <c r="AD19" s="1202"/>
      <c r="AE19" s="1202"/>
      <c r="AF19" s="1202"/>
      <c r="AG19" s="1202"/>
      <c r="AH19" s="1202"/>
      <c r="AI19" s="1202"/>
      <c r="AJ19" s="1202"/>
      <c r="AK19" s="1202"/>
      <c r="AL19" s="1202"/>
      <c r="AM19" s="1202"/>
      <c r="AN19" s="1202"/>
      <c r="AO19" s="1202"/>
      <c r="AP19" s="1202"/>
      <c r="AQ19" s="1202"/>
      <c r="AR19" s="1202"/>
      <c r="AS19" s="1202"/>
      <c r="AT19" s="1202"/>
      <c r="AU19" s="1202"/>
      <c r="AV19" s="1202"/>
      <c r="AW19" s="1202"/>
      <c r="AX19" s="1202"/>
      <c r="AY19" s="1202"/>
      <c r="AZ19" s="1202"/>
      <c r="BA19" s="1202"/>
      <c r="BB19" s="1202"/>
      <c r="BC19" s="1202"/>
      <c r="BD19" s="1202"/>
      <c r="BE19" s="1202"/>
      <c r="BF19" s="1202"/>
      <c r="BG19" s="1202"/>
      <c r="BH19" s="1202"/>
      <c r="BI19" s="1202"/>
      <c r="BJ19" s="1202"/>
      <c r="BK19" s="1202"/>
      <c r="BL19" s="1202"/>
      <c r="BM19" s="1202"/>
      <c r="BN19" s="1202"/>
      <c r="BO19" s="1202"/>
      <c r="BP19" s="1202"/>
      <c r="BQ19" s="1202"/>
      <c r="BR19" s="1202"/>
      <c r="BS19" s="1202"/>
      <c r="BT19" s="1202"/>
      <c r="BU19" s="1202"/>
      <c r="BV19" s="1202"/>
      <c r="BW19" s="1202"/>
      <c r="BX19" s="1202"/>
      <c r="BY19" s="1202"/>
      <c r="BZ19" s="1202"/>
      <c r="CA19" s="1202"/>
      <c r="CB19" s="1202"/>
      <c r="CC19" s="1202"/>
      <c r="CD19" s="1202"/>
      <c r="CE19" s="1202"/>
      <c r="CF19" s="1202"/>
      <c r="CG19" s="1202"/>
      <c r="CH19" s="1202"/>
      <c r="CI19" s="1202"/>
      <c r="CJ19" s="1202"/>
      <c r="CK19" s="1202"/>
      <c r="CL19" s="1202"/>
      <c r="CM19" s="1202"/>
      <c r="CN19" s="1202"/>
      <c r="CO19" s="1202"/>
      <c r="CP19" s="1202"/>
      <c r="CQ19" s="1202"/>
      <c r="CR19" s="1202"/>
      <c r="CS19" s="1202"/>
      <c r="CT19" s="1202"/>
      <c r="CU19" s="1202"/>
      <c r="CV19" s="1202"/>
      <c r="CW19" s="1202"/>
      <c r="CX19" s="1202"/>
      <c r="CY19" s="1202"/>
      <c r="CZ19" s="1202"/>
      <c r="DA19" s="1202"/>
      <c r="DB19" s="1202"/>
      <c r="DC19" s="1202"/>
      <c r="DD19" s="1202"/>
      <c r="DE19" s="1202"/>
      <c r="DF19" s="1202"/>
      <c r="DG19" s="1202"/>
      <c r="DH19" s="1202"/>
      <c r="DI19" s="1202"/>
      <c r="DJ19" s="1202"/>
      <c r="DK19" s="1202"/>
      <c r="DL19" s="1202"/>
      <c r="DM19" s="1202"/>
      <c r="DN19" s="1202"/>
      <c r="DO19" s="1202"/>
      <c r="DP19" s="1202"/>
      <c r="DQ19" s="1202"/>
      <c r="DR19" s="1202"/>
      <c r="DS19" s="1202"/>
      <c r="DT19" s="1202"/>
      <c r="DU19" s="1202"/>
      <c r="DV19" s="1202"/>
      <c r="DW19" s="1202"/>
      <c r="DX19" s="1202"/>
      <c r="DY19" s="1202"/>
      <c r="DZ19" s="1202"/>
      <c r="EA19" s="1202"/>
      <c r="EB19" s="1202"/>
      <c r="EC19" s="1202"/>
      <c r="ED19" s="1202"/>
      <c r="EE19" s="1202"/>
      <c r="EF19" s="1202"/>
      <c r="EG19" s="1202"/>
      <c r="EH19" s="1202"/>
      <c r="EI19" s="1202"/>
      <c r="EJ19" s="1202"/>
      <c r="EK19" s="1202"/>
      <c r="EL19" s="1202"/>
      <c r="EM19" s="1202"/>
      <c r="EN19" s="1202"/>
      <c r="EO19" s="1202"/>
      <c r="EP19" s="1202"/>
      <c r="EQ19" s="1202"/>
      <c r="ER19" s="1202"/>
      <c r="ES19" s="1202"/>
      <c r="ET19" s="1202"/>
      <c r="EU19" s="1202"/>
      <c r="EV19" s="1202"/>
      <c r="EW19" s="1202"/>
      <c r="EX19" s="1202"/>
      <c r="EY19" s="1202"/>
      <c r="EZ19" s="1202"/>
      <c r="FA19" s="1202"/>
      <c r="FB19" s="1202"/>
      <c r="FC19" s="1202"/>
      <c r="FD19" s="1202"/>
      <c r="FE19" s="1202"/>
      <c r="FF19" s="1202"/>
      <c r="FG19" s="1202"/>
      <c r="FH19" s="1202"/>
      <c r="FI19" s="1202"/>
      <c r="FJ19" s="1202"/>
      <c r="FK19" s="1202"/>
      <c r="FL19" s="1202"/>
      <c r="FM19" s="1202"/>
      <c r="FN19" s="1202"/>
      <c r="FO19" s="1202"/>
      <c r="FP19" s="1202"/>
      <c r="FQ19" s="1202"/>
      <c r="FR19" s="1202"/>
      <c r="FS19" s="1202"/>
      <c r="FT19" s="1202"/>
      <c r="FU19" s="1202"/>
      <c r="FV19" s="1202"/>
      <c r="FW19" s="1202"/>
      <c r="FX19" s="1206"/>
    </row>
    <row s="4447" customFormat="1" customHeight="1" ht="11.25" hidden="1">
      <c r="B20" s="946"/>
      <c r="D20" s="930"/>
      <c r="E20" s="945"/>
      <c r="F20" s="1207" t="s">
        <v>369</v>
      </c>
      <c r="G20" s="1208"/>
      <c r="H20" s="1209"/>
      <c r="I20" s="1209"/>
      <c r="J20" s="1209"/>
      <c r="K20" s="1209"/>
      <c r="L20" s="1209"/>
      <c r="M20" s="1209"/>
      <c r="N20" s="1209"/>
      <c r="O20" s="1208"/>
      <c r="P20" s="1208"/>
      <c r="Q20" s="1208"/>
      <c r="R20" s="1208"/>
      <c r="S20" s="1208"/>
      <c r="T20" s="1208"/>
      <c r="U20" s="1210"/>
      <c r="V20" s="1210"/>
      <c r="W20" s="1210"/>
      <c r="X20" s="1210"/>
      <c r="Y20" s="1210"/>
      <c r="Z20" s="1210"/>
      <c r="AA20" s="1210"/>
      <c r="AB20" s="1208"/>
      <c r="AC20" s="1209"/>
      <c r="AD20" s="1209"/>
      <c r="AE20" s="1209"/>
      <c r="AF20" s="1209"/>
      <c r="AG20" s="1209"/>
      <c r="AH20" s="1209"/>
      <c r="AI20" s="1209"/>
      <c r="AJ20" s="1209"/>
      <c r="AK20" s="1209"/>
      <c r="AL20" s="1209"/>
      <c r="AM20" s="1209"/>
      <c r="AN20" s="1209"/>
      <c r="AO20" s="1209"/>
      <c r="AP20" s="1209"/>
      <c r="AQ20" s="1209"/>
      <c r="AR20" s="1209"/>
      <c r="AS20" s="1209"/>
      <c r="AT20" s="1209"/>
      <c r="AU20" s="1209"/>
      <c r="AV20" s="1209"/>
      <c r="AW20" s="1209"/>
      <c r="AX20" s="1209"/>
      <c r="AY20" s="1209"/>
      <c r="AZ20" s="1209"/>
      <c r="BA20" s="1209"/>
      <c r="BB20" s="1209"/>
      <c r="BC20" s="1209"/>
      <c r="BD20" s="1209"/>
      <c r="BE20" s="1209"/>
      <c r="BF20" s="1209"/>
      <c r="BG20" s="1209"/>
      <c r="BH20" s="1209"/>
      <c r="BI20" s="1209"/>
      <c r="BJ20" s="1209"/>
      <c r="BK20" s="1209"/>
      <c r="BL20" s="1209"/>
      <c r="BM20" s="1209"/>
      <c r="BN20" s="1209"/>
      <c r="BO20" s="1209"/>
      <c r="BP20" s="1209"/>
      <c r="BQ20" s="1209"/>
      <c r="BR20" s="1209"/>
      <c r="BS20" s="1209"/>
      <c r="BT20" s="1209"/>
      <c r="BU20" s="1209"/>
      <c r="BV20" s="1209"/>
      <c r="BW20" s="1209"/>
      <c r="BX20" s="1209"/>
      <c r="BY20" s="1209"/>
      <c r="BZ20" s="1209"/>
      <c r="CA20" s="1209"/>
      <c r="CB20" s="1209"/>
      <c r="CC20" s="1209"/>
      <c r="CD20" s="1209"/>
      <c r="CE20" s="1209"/>
      <c r="CF20" s="1209"/>
      <c r="CG20" s="1209"/>
      <c r="CH20" s="1209"/>
      <c r="CI20" s="1209"/>
      <c r="CJ20" s="1209"/>
      <c r="CK20" s="1209"/>
      <c r="CL20" s="1211"/>
      <c r="CM20" s="1211"/>
      <c r="CN20" s="1211"/>
      <c r="CO20" s="1211"/>
      <c r="CP20" s="1211"/>
      <c r="CQ20" s="1211"/>
      <c r="CR20" s="1211"/>
      <c r="CS20" s="1211"/>
      <c r="CT20" s="1211"/>
      <c r="CU20" s="1211"/>
      <c r="CV20" s="1211"/>
      <c r="CW20" s="1211"/>
      <c r="CX20" s="1211"/>
      <c r="CY20" s="1211"/>
      <c r="CZ20" s="1211"/>
      <c r="DA20" s="1211"/>
      <c r="DB20" s="1211"/>
      <c r="DC20" s="1211"/>
      <c r="DD20" s="1211"/>
      <c r="DE20" s="1211"/>
      <c r="DF20" s="1211"/>
      <c r="DG20" s="1211"/>
      <c r="DH20" s="1211"/>
      <c r="DI20" s="1211"/>
      <c r="DJ20" s="1211"/>
      <c r="DK20" s="1211"/>
      <c r="DL20" s="1211"/>
      <c r="DM20" s="1211"/>
      <c r="DN20" s="1211"/>
      <c r="DO20" s="1211"/>
      <c r="DP20" s="1211"/>
      <c r="DQ20" s="1211"/>
      <c r="DR20" s="1211"/>
      <c r="DS20" s="1211"/>
      <c r="DT20" s="1211"/>
      <c r="DU20" s="1211"/>
      <c r="DV20" s="1211"/>
      <c r="DW20" s="1211"/>
      <c r="DX20" s="1211"/>
      <c r="DY20" s="1211"/>
      <c r="DZ20" s="1211"/>
      <c r="EA20" s="1211"/>
      <c r="EB20" s="1211"/>
      <c r="EC20" s="1211"/>
      <c r="ED20" s="1211"/>
      <c r="EE20" s="1211"/>
      <c r="EF20" s="1211"/>
      <c r="EG20" s="1211"/>
      <c r="EH20" s="1211"/>
      <c r="EI20" s="1211"/>
      <c r="EJ20" s="1211"/>
      <c r="EK20" s="1211"/>
      <c r="EL20" s="1211"/>
      <c r="EM20" s="1211"/>
      <c r="EN20" s="1211"/>
      <c r="EO20" s="1211"/>
      <c r="EP20" s="1211"/>
      <c r="EQ20" s="1211"/>
      <c r="ER20" s="1211"/>
      <c r="ES20" s="1211"/>
      <c r="ET20" s="1211"/>
      <c r="EU20" s="1211"/>
      <c r="EV20" s="1211"/>
      <c r="EW20" s="1211"/>
      <c r="EX20" s="1211"/>
      <c r="EY20" s="1211"/>
      <c r="EZ20" s="1211"/>
      <c r="FA20" s="1211"/>
      <c r="FB20" s="1211"/>
      <c r="FC20" s="1211"/>
      <c r="FD20" s="1211"/>
      <c r="FE20" s="1211"/>
      <c r="FF20" s="1211"/>
      <c r="FG20" s="1211"/>
      <c r="FH20" s="1211"/>
      <c r="FI20" s="1211"/>
      <c r="FJ20" s="1211"/>
      <c r="FK20" s="1211"/>
      <c r="FL20" s="1211"/>
      <c r="FM20" s="1211"/>
      <c r="FN20" s="1211"/>
      <c r="FO20" s="1211"/>
      <c r="FP20" s="1211"/>
      <c r="FQ20" s="1211"/>
      <c r="FR20" s="1211"/>
      <c r="FS20" s="1211"/>
      <c r="FT20" s="1211"/>
      <c r="FU20" s="1211"/>
      <c r="FV20" s="1211"/>
      <c r="FW20" s="1211"/>
      <c r="FX20" s="1212"/>
    </row>
    <row s="4447" customFormat="1" customHeight="1" ht="12">
      <c r="A21" s="947"/>
      <c r="B21" s="947"/>
      <c r="C21" s="947"/>
      <c r="D21" s="947"/>
      <c r="E21" s="947"/>
      <c r="F21" s="945"/>
      <c r="G21" s="945"/>
      <c r="H21" s="945"/>
      <c r="I21" s="945"/>
      <c r="J21" s="945"/>
      <c r="K21" s="945"/>
      <c r="L21" s="945"/>
      <c r="M21" s="945"/>
      <c r="N21" s="945"/>
      <c r="O21" s="945"/>
      <c r="P21" s="945"/>
      <c r="Q21" s="945"/>
      <c r="R21" s="945"/>
      <c r="S21" s="948"/>
      <c r="T21" s="948"/>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7"/>
      <c r="FY21" s="947"/>
      <c r="FZ21" s="947"/>
      <c r="GA21" s="947"/>
      <c r="GB21" s="947"/>
    </row>
    <row s="4447" customFormat="1" customHeight="1" ht="12">
      <c r="A22" s="947"/>
      <c r="B22" s="947"/>
      <c r="C22" s="947"/>
      <c r="D22" s="947"/>
      <c r="E22" s="947"/>
      <c r="FX22" s="947"/>
      <c r="FY22" s="947"/>
      <c r="FZ22" s="947"/>
      <c r="GA22" s="947"/>
      <c r="GB22" s="947"/>
    </row>
    <row s="4515" customFormat="1" customHeight="1" ht="12">
      <c r="A23" s="1069"/>
      <c r="B23" s="1069"/>
      <c r="C23" s="1069"/>
      <c r="D23" s="1069"/>
      <c r="E23" s="1069"/>
      <c r="O23" s="1071"/>
      <c r="P23" s="1071"/>
      <c r="Q23" s="1071"/>
      <c r="R23" s="1071"/>
      <c r="S23" s="1071"/>
      <c r="T23" s="1071"/>
      <c r="U23" s="1071"/>
      <c r="V23" s="1071"/>
      <c r="W23" s="1071"/>
      <c r="X23" s="1071"/>
      <c r="Y23" s="1071"/>
      <c r="Z23" s="1071"/>
      <c r="AA23" s="1071"/>
      <c r="AB23" s="1071"/>
      <c r="AC23" s="1071"/>
      <c r="AD23" s="1071"/>
      <c r="AE23" s="1071"/>
      <c r="AF23" s="1071"/>
      <c r="AG23" s="1071"/>
      <c r="AH23" s="1071"/>
      <c r="AI23" s="1071"/>
      <c r="AJ23" s="1071"/>
      <c r="AK23" s="1071"/>
      <c r="AL23" s="1071"/>
      <c r="AM23" s="1071"/>
      <c r="AN23" s="1071"/>
      <c r="AO23" s="1071"/>
      <c r="AP23" s="1071"/>
      <c r="AQ23" s="1071"/>
      <c r="AR23" s="1071"/>
      <c r="AS23" s="1071"/>
      <c r="AT23" s="1071"/>
      <c r="AU23" s="1071"/>
      <c r="AV23" s="1071"/>
      <c r="AW23" s="1071"/>
      <c r="AX23" s="1071"/>
      <c r="AY23" s="1071"/>
      <c r="AZ23" s="1071"/>
      <c r="BA23" s="1071"/>
      <c r="BB23" s="1071"/>
      <c r="BC23" s="1071"/>
      <c r="BD23" s="1071"/>
      <c r="BE23" s="1071"/>
      <c r="BF23" s="1071"/>
      <c r="BG23" s="1071"/>
      <c r="BH23" s="1071"/>
      <c r="BI23" s="1071"/>
      <c r="BJ23" s="1071"/>
      <c r="BK23" s="1071"/>
      <c r="BL23" s="1071"/>
      <c r="BM23" s="1071"/>
      <c r="BN23" s="1071"/>
      <c r="BO23" s="1071"/>
      <c r="BP23" s="1071"/>
      <c r="BQ23" s="1071"/>
      <c r="BR23" s="1071"/>
      <c r="BS23" s="1071"/>
      <c r="BT23" s="1072"/>
      <c r="BU23" s="1072"/>
      <c r="BV23" s="1072"/>
      <c r="BW23" s="1072"/>
      <c r="BX23" s="1072"/>
      <c r="BY23" s="1072"/>
      <c r="BZ23" s="1072"/>
      <c r="CA23" s="1072"/>
      <c r="CB23" s="1072"/>
      <c r="CC23" s="1072"/>
      <c r="CD23" s="1072"/>
      <c r="CE23" s="1072"/>
      <c r="CF23" s="1072"/>
      <c r="CG23" s="1072"/>
      <c r="CH23" s="1072"/>
      <c r="CI23" s="1072"/>
      <c r="CJ23" s="1072"/>
      <c r="CK23" s="1072"/>
      <c r="CL23" s="1072"/>
      <c r="CM23" s="1072"/>
      <c r="CN23" s="1072"/>
      <c r="CO23" s="1072"/>
      <c r="CP23" s="1072"/>
      <c r="CQ23" s="1072"/>
      <c r="CR23" s="1072"/>
      <c r="CS23" s="1072"/>
      <c r="CT23" s="1072"/>
      <c r="CU23" s="1072"/>
      <c r="CV23" s="1072"/>
      <c r="CW23" s="1072"/>
      <c r="CX23" s="1072"/>
      <c r="CY23" s="1072"/>
      <c r="CZ23" s="1072"/>
      <c r="DA23" s="1072"/>
      <c r="DB23" s="1072"/>
      <c r="DC23" s="1072"/>
      <c r="DD23" s="1072"/>
      <c r="DE23" s="1072"/>
      <c r="DF23" s="1072"/>
      <c r="DG23" s="1072"/>
      <c r="DH23" s="1072"/>
      <c r="DI23" s="1072"/>
      <c r="DJ23" s="1072"/>
      <c r="DK23" s="1072"/>
      <c r="DL23" s="1072"/>
      <c r="DM23" s="1072"/>
      <c r="DN23" s="1072"/>
      <c r="DO23" s="1072"/>
      <c r="DP23" s="1072"/>
      <c r="DQ23" s="1072"/>
      <c r="DR23" s="1072"/>
      <c r="DS23" s="1072"/>
      <c r="DT23" s="1072"/>
      <c r="DU23" s="1072"/>
      <c r="DV23" s="1072"/>
      <c r="DW23" s="1072"/>
      <c r="DX23" s="1072"/>
      <c r="FX23" s="1069"/>
      <c r="FY23" s="1069"/>
      <c r="FZ23" s="1069"/>
      <c r="GA23" s="1069"/>
      <c r="GB23" s="1069"/>
    </row>
    <row customHeight="1" ht="12">
      <c r="S24" s="944"/>
      <c r="T24" s="944"/>
      <c r="U24" s="944"/>
      <c r="V24" s="944"/>
      <c r="W24" s="944"/>
      <c r="X24" s="944"/>
      <c r="Y24" s="944"/>
      <c r="Z24" s="944"/>
      <c r="AA24" s="944"/>
      <c r="AB24" s="944"/>
      <c r="FX24" s="944"/>
      <c r="FY24" s="944"/>
      <c r="FZ24" s="944"/>
      <c r="GA24" s="944"/>
      <c r="GB24" s="944"/>
    </row>
  </sheetData>
  <sheetProtection formatColumns="0" formatRows="0" autoFilter="0" sort="0" insertRows="0" insertColumns="1" deleteRows="0" deleteColumns="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230D55-6E27-0958-B6C8-0D3131A8C768}" mc:Ignorable="x14ac xr xr2 xr3">
  <sheetPr>
    <tabColor rgb="FFCCCCFF"/>
  </sheetPr>
  <dimension ref="A1:AL16"/>
  <sheetViews>
    <sheetView topLeftCell="A1" showGridLines="0" zoomScale="90" workbookViewId="0">
      <selection activeCell="A1" sqref="A1"/>
    </sheetView>
  </sheetViews>
  <sheetFormatPr defaultColWidth="9.140625" customHeight="1" defaultRowHeight="11.25"/>
  <cols>
    <col min="1" max="1" style="2775" width="6.421875" hidden="1" customWidth="1"/>
    <col min="2" max="2" style="2775" width="2.00390625" hidden="1" customWidth="1"/>
    <col min="3" max="3" style="2775" width="3.7109375" customWidth="1"/>
    <col min="4" max="4" style="2775" width="4.28125" customWidth="1"/>
    <col min="5" max="5" style="2775" width="45.00390625" customWidth="1"/>
    <col min="6" max="6" style="2775" width="6.421875" customWidth="1"/>
    <col min="7" max="7" style="2775" width="4.421875" customWidth="1"/>
    <col min="8" max="8" style="2775" width="5.57421875" customWidth="1"/>
    <col min="9" max="9" style="2775" width="52.8515625" customWidth="1"/>
    <col min="10" max="10" style="2775" width="7.00390625" customWidth="1"/>
    <col min="11" max="11" style="2775" width="3.7109375" customWidth="1"/>
    <col min="12" max="12" style="2775" width="6.28125" customWidth="1"/>
    <col min="13" max="13" style="2775" width="56.28125" customWidth="1"/>
    <col min="14" max="14" style="2697" width="9.140625"/>
    <col min="15" max="20" style="2734" width="9.140625" hidden="1"/>
    <col min="21" max="24" style="2776" width="9.140625" hidden="1"/>
    <col min="25" max="37" style="2697" width="9.140625" hidden="1"/>
    <col min="38" max="38" style="2697" width="9.140625"/>
  </cols>
  <sheetData>
    <row customHeight="1" ht="11.25" hidden="1"/>
    <row customHeight="1" ht="11.25" hidden="1"/>
    <row r="4" customHeight="1" ht="34.5">
      <c r="A4" s="591"/>
      <c r="B4" s="591"/>
      <c r="D4" s="1963" t="str">
        <f>Титульный!E5</f>
        <v>Показатели, подлежащие раскрытию в сфере теплоснабжения (цены и тарифы)</v>
      </c>
      <c r="E4" s="1964"/>
      <c r="F4" s="1964"/>
      <c r="G4" s="1964"/>
      <c r="H4" s="1964"/>
      <c r="I4" s="1965"/>
      <c r="J4" s="590"/>
      <c r="K4" s="590"/>
      <c r="L4" s="590"/>
      <c r="M4" s="590"/>
    </row>
    <row s="2698" customFormat="1" customHeight="1" ht="15">
      <c r="A5" s="591"/>
      <c r="B5" s="591"/>
      <c r="C5" s="591"/>
      <c r="D5" s="1966" t="str">
        <f>IF(org=0,"Не определено",org)</f>
        <v>МУП г. Азова "Теплоэнерго"</v>
      </c>
      <c r="E5" s="1967"/>
      <c r="F5" s="1967"/>
      <c r="G5" s="1967"/>
      <c r="H5" s="1967"/>
      <c r="I5" s="1968"/>
      <c r="J5" s="592"/>
      <c r="K5" s="592"/>
      <c r="L5" s="592"/>
      <c r="M5" s="592"/>
      <c r="N5" s="592"/>
      <c r="O5" s="876"/>
      <c r="P5" s="876"/>
      <c r="Q5" s="876"/>
      <c r="R5" s="876"/>
      <c r="S5" s="876"/>
      <c r="T5" s="876"/>
      <c r="U5" s="1290"/>
      <c r="V5" s="1290"/>
      <c r="W5" s="1290"/>
      <c r="X5" s="1290"/>
      <c r="Y5" s="592"/>
      <c r="Z5" s="592"/>
      <c r="AA5" s="592"/>
      <c r="AB5" s="592"/>
      <c r="AC5" s="592"/>
      <c r="AD5" s="592"/>
      <c r="AE5" s="592"/>
      <c r="AF5" s="592"/>
      <c r="AG5" s="592"/>
      <c r="AH5" s="592"/>
      <c r="AI5" s="592"/>
      <c r="AJ5" s="592"/>
      <c r="AK5" s="592"/>
      <c r="AL5" s="592"/>
    </row>
    <row s="2705" customFormat="1" customHeight="1" ht="6">
      <c r="A6" s="1969"/>
      <c r="B6" s="1969"/>
      <c r="C6" s="1969"/>
      <c r="D6" s="1969"/>
      <c r="E6" s="1969"/>
      <c r="F6" s="1969"/>
      <c r="G6" s="594"/>
      <c r="H6" s="594"/>
      <c r="I6" s="594"/>
      <c r="J6" s="594"/>
      <c r="K6" s="594"/>
      <c r="N6" s="596"/>
      <c r="O6" s="1444"/>
      <c r="P6" s="1444"/>
      <c r="Q6" s="1444"/>
      <c r="R6" s="1444"/>
      <c r="S6" s="1444"/>
      <c r="T6" s="1444"/>
      <c r="U6" s="1293"/>
      <c r="V6" s="1293"/>
      <c r="W6" s="1293"/>
      <c r="X6" s="1293"/>
      <c r="Y6" s="596"/>
      <c r="Z6" s="596"/>
      <c r="AA6" s="596"/>
      <c r="AB6" s="596"/>
      <c r="AC6" s="596"/>
      <c r="AD6" s="596"/>
      <c r="AE6" s="596"/>
      <c r="AF6" s="596"/>
      <c r="AG6" s="596"/>
      <c r="AH6" s="596"/>
      <c r="AI6" s="596"/>
      <c r="AJ6" s="596"/>
      <c r="AK6" s="596"/>
      <c r="AL6" s="596"/>
    </row>
    <row customHeight="1" ht="45.75" hidden="1">
      <c r="E7" s="1974"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1975"/>
      <c r="G7" s="1975"/>
      <c r="H7" s="1975"/>
      <c r="I7" s="1975"/>
      <c r="J7" s="1975"/>
      <c r="K7" s="1975"/>
      <c r="L7" s="1975"/>
      <c r="M7" s="1975"/>
    </row>
    <row s="2698" customFormat="1" customHeight="1" ht="6">
      <c r="A8" s="597"/>
      <c r="B8" s="597"/>
      <c r="C8" s="597"/>
      <c r="D8" s="597"/>
      <c r="E8" s="597"/>
      <c r="F8" s="597"/>
      <c r="G8" s="597"/>
      <c r="H8" s="597"/>
      <c r="I8" s="597"/>
      <c r="J8" s="597"/>
      <c r="K8" s="597"/>
      <c r="L8" s="597"/>
      <c r="M8" s="595"/>
      <c r="N8" s="592"/>
      <c r="O8" s="876"/>
      <c r="P8" s="876"/>
      <c r="Q8" s="876"/>
      <c r="R8" s="876"/>
      <c r="S8" s="876"/>
      <c r="T8" s="876"/>
      <c r="U8" s="1290"/>
      <c r="V8" s="1290"/>
      <c r="W8" s="1290"/>
      <c r="X8" s="1290"/>
      <c r="Y8" s="592"/>
      <c r="Z8" s="592"/>
      <c r="AA8" s="592"/>
      <c r="AB8" s="592"/>
      <c r="AC8" s="592"/>
      <c r="AD8" s="592"/>
      <c r="AE8" s="592"/>
      <c r="AF8" s="592"/>
      <c r="AG8" s="592"/>
      <c r="AH8" s="592"/>
      <c r="AI8" s="592"/>
      <c r="AJ8" s="592"/>
      <c r="AK8" s="592"/>
      <c r="AL8" s="592"/>
    </row>
    <row customHeight="1" ht="18">
      <c r="A9" s="1970"/>
      <c r="B9" s="318"/>
      <c r="C9" s="318"/>
      <c r="D9" s="1971" t="s">
        <v>104</v>
      </c>
      <c r="E9" s="1971"/>
      <c r="F9" s="1972" t="s">
        <v>105</v>
      </c>
      <c r="G9" s="1973"/>
      <c r="H9" s="1973"/>
      <c r="I9" s="1973"/>
      <c r="J9" s="1976" t="s">
        <v>106</v>
      </c>
      <c r="K9" s="1976"/>
      <c r="L9" s="1976"/>
      <c r="M9" s="1976"/>
    </row>
    <row customHeight="1" ht="22.5">
      <c r="A10" s="1970"/>
      <c r="B10" s="598"/>
      <c r="C10" s="531"/>
      <c r="D10" s="529" t="s">
        <v>87</v>
      </c>
      <c r="E10" s="529" t="s">
        <v>88</v>
      </c>
      <c r="F10" s="529" t="s">
        <v>107</v>
      </c>
      <c r="G10" s="1977" t="s">
        <v>87</v>
      </c>
      <c r="H10" s="1978"/>
      <c r="I10" s="529" t="s">
        <v>88</v>
      </c>
      <c r="J10" s="529" t="s">
        <v>107</v>
      </c>
      <c r="K10" s="1977" t="s">
        <v>87</v>
      </c>
      <c r="L10" s="1978"/>
      <c r="M10" s="529" t="s">
        <v>88</v>
      </c>
      <c r="N10" s="1667"/>
    </row>
    <row s="2726" customFormat="1" customHeight="1" ht="11.25" hidden="1">
      <c r="A11" s="599"/>
      <c r="B11" s="599"/>
      <c r="C11" s="599"/>
      <c r="D11" s="600" t="s">
        <v>108</v>
      </c>
      <c r="E11" s="600" t="s">
        <v>109</v>
      </c>
      <c r="F11" s="600" t="s">
        <v>89</v>
      </c>
      <c r="G11" s="1959" t="s">
        <v>90</v>
      </c>
      <c r="H11" s="1960"/>
      <c r="I11" s="600" t="s">
        <v>110</v>
      </c>
      <c r="J11" s="600" t="s">
        <v>91</v>
      </c>
      <c r="K11" s="1961" t="s">
        <v>92</v>
      </c>
      <c r="L11" s="1962"/>
      <c r="M11" s="600" t="s">
        <v>111</v>
      </c>
      <c r="N11" s="1666"/>
      <c r="O11" s="1443"/>
      <c r="P11" s="1445"/>
      <c r="Q11" s="1445"/>
      <c r="R11" s="1445"/>
      <c r="S11" s="1445"/>
      <c r="T11" s="1445"/>
      <c r="U11" s="1294"/>
      <c r="V11" s="1294"/>
      <c r="W11" s="1294"/>
      <c r="X11" s="1294"/>
      <c r="Y11" s="601"/>
      <c r="Z11" s="601"/>
      <c r="AA11" s="601"/>
      <c r="AB11" s="601"/>
      <c r="AC11" s="601"/>
      <c r="AD11" s="601"/>
      <c r="AE11" s="601"/>
      <c r="AF11" s="601"/>
      <c r="AG11" s="601"/>
      <c r="AH11" s="601"/>
      <c r="AI11" s="601"/>
      <c r="AJ11" s="601"/>
      <c r="AK11" s="601"/>
      <c r="AL11" s="601"/>
    </row>
    <row customHeight="1" ht="0.75">
      <c r="A12" s="603"/>
      <c r="B12" s="604"/>
      <c r="C12" s="604"/>
      <c r="D12" s="605"/>
      <c r="E12" s="367"/>
      <c r="F12" s="606"/>
      <c r="G12" s="1066"/>
      <c r="H12" s="1066"/>
      <c r="I12" s="606"/>
      <c r="J12" s="606"/>
      <c r="K12" s="160"/>
      <c r="L12" s="367"/>
      <c r="M12" s="607"/>
      <c r="N12" s="1667"/>
      <c r="O12" s="1443" t="s">
        <v>112</v>
      </c>
      <c r="P12" s="1443" t="s">
        <v>113</v>
      </c>
      <c r="Q12" s="1443" t="s">
        <v>114</v>
      </c>
      <c r="R12" s="1443" t="s">
        <v>115</v>
      </c>
    </row>
    <row s="2746" customFormat="1" customHeight="1" ht="15">
      <c r="A13" s="281"/>
      <c r="B13" s="281"/>
      <c r="C13" s="532"/>
      <c r="D13" s="1982" t="s">
        <v>108</v>
      </c>
      <c r="E13" s="1983"/>
      <c r="F13" s="1986" t="s">
        <v>61</v>
      </c>
      <c r="G13" s="1987"/>
      <c r="H13" s="1988">
        <v>1</v>
      </c>
      <c r="I13" s="1979" t="str">
        <f>IF(U13="","",INDEX(TERRITORY_MR_LIST,MATCH(U13,TERRITORY_LIST_ID,0)))</f>
        <v/>
      </c>
      <c r="J13" s="1981" t="s">
        <v>56</v>
      </c>
      <c r="K13" s="608"/>
      <c r="L13" s="533" t="s">
        <v>108</v>
      </c>
      <c r="M13" s="609" t="s">
        <v>24</v>
      </c>
      <c r="N13" s="818"/>
      <c r="O13" s="1446" t="s">
        <v>116</v>
      </c>
      <c r="P13" s="1443">
        <f>$E$13</f>
        <v>0</v>
      </c>
      <c r="Q13" s="1443" t="str">
        <f>IF($F$13="нет","без дифференциации",$I$13)</f>
        <v/>
      </c>
      <c r="R13" s="1443" t="str">
        <f>IF($J$13="нет","без дифференциации",M13)</f>
        <v>без дифференциации</v>
      </c>
      <c r="S13" s="1446"/>
      <c r="T13" s="1446"/>
      <c r="U13" s="1295"/>
      <c r="V13" s="1295"/>
      <c r="W13" s="1295"/>
      <c r="X13" s="1295"/>
      <c r="Y13" s="610" t="s">
        <v>117</v>
      </c>
      <c r="Z13" s="610">
        <v>1705000</v>
      </c>
      <c r="AA13" s="610"/>
      <c r="AB13" s="610"/>
      <c r="AC13" s="610"/>
      <c r="AD13" s="610"/>
      <c r="AE13" s="610"/>
      <c r="AF13" s="610"/>
      <c r="AG13" s="610"/>
      <c r="AH13" s="610"/>
      <c r="AI13" s="610"/>
      <c r="AJ13" s="610"/>
      <c r="AK13" s="610"/>
      <c r="AL13" s="610"/>
    </row>
    <row s="2746" customFormat="1" customHeight="1" ht="15">
      <c r="A14" s="281"/>
      <c r="B14" s="281"/>
      <c r="C14" s="162"/>
      <c r="D14" s="1982"/>
      <c r="E14" s="1984"/>
      <c r="F14" s="1981"/>
      <c r="G14" s="1987"/>
      <c r="H14" s="1988"/>
      <c r="I14" s="1980"/>
      <c r="J14" s="1981"/>
      <c r="K14" s="427"/>
      <c r="L14" s="163"/>
      <c r="M14" s="613" t="s">
        <v>118</v>
      </c>
      <c r="N14" s="818"/>
      <c r="O14" s="1446"/>
      <c r="P14" s="1443"/>
      <c r="Q14" s="1443"/>
      <c r="R14" s="1443"/>
      <c r="S14" s="1446"/>
      <c r="T14" s="1446"/>
      <c r="U14" s="1295"/>
      <c r="V14" s="1295"/>
      <c r="W14" s="1295"/>
      <c r="X14" s="1295"/>
      <c r="Y14" s="610"/>
      <c r="Z14" s="610"/>
      <c r="AA14" s="610"/>
      <c r="AB14" s="610"/>
      <c r="AC14" s="610"/>
      <c r="AD14" s="610"/>
      <c r="AE14" s="610"/>
      <c r="AF14" s="610"/>
      <c r="AG14" s="610"/>
      <c r="AH14" s="610"/>
      <c r="AI14" s="610"/>
      <c r="AJ14" s="610"/>
      <c r="AK14" s="610"/>
      <c r="AL14" s="610"/>
    </row>
    <row s="2746" customFormat="1" customHeight="1" ht="15">
      <c r="A15" s="281"/>
      <c r="B15" s="281"/>
      <c r="C15" s="162"/>
      <c r="D15" s="1982"/>
      <c r="E15" s="1985"/>
      <c r="F15" s="1981"/>
      <c r="G15" s="1067"/>
      <c r="H15" s="1068"/>
      <c r="I15" s="586" t="s">
        <v>119</v>
      </c>
      <c r="J15" s="163"/>
      <c r="K15" s="163"/>
      <c r="L15" s="163"/>
      <c r="M15" s="614"/>
      <c r="N15" s="818"/>
      <c r="O15" s="1446"/>
      <c r="P15" s="1443"/>
      <c r="Q15" s="1443"/>
      <c r="R15" s="1443"/>
      <c r="S15" s="1446"/>
      <c r="T15" s="1446"/>
      <c r="U15" s="1295"/>
      <c r="V15" s="1295"/>
      <c r="W15" s="1295"/>
      <c r="X15" s="1295"/>
      <c r="Y15" s="610"/>
      <c r="Z15" s="610"/>
      <c r="AA15" s="610"/>
      <c r="AB15" s="610"/>
      <c r="AC15" s="610"/>
      <c r="AD15" s="610"/>
      <c r="AE15" s="610"/>
      <c r="AF15" s="610"/>
      <c r="AG15" s="610"/>
      <c r="AH15" s="610"/>
      <c r="AI15" s="610"/>
      <c r="AJ15" s="610"/>
      <c r="AK15" s="610"/>
      <c r="AL15" s="610"/>
    </row>
    <row customHeight="1" ht="15">
      <c r="A16" s="615"/>
      <c r="B16" s="121"/>
      <c r="C16" s="812"/>
      <c r="D16" s="427"/>
      <c r="E16" s="577" t="s">
        <v>120</v>
      </c>
      <c r="F16" s="163"/>
      <c r="G16" s="163"/>
      <c r="H16" s="163"/>
      <c r="I16" s="163"/>
      <c r="J16" s="163"/>
      <c r="K16" s="163" t="s">
        <v>24</v>
      </c>
      <c r="L16" s="163"/>
      <c r="M16" s="614"/>
      <c r="N16" s="1667"/>
    </row>
  </sheetData>
  <sheetProtection formatColumns="0" formatRows="0" autoFilter="0" sort="0" insertRows="0" insertColumns="1" deleteRows="0" deleteColumns="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740108-4BC8-6D4D-9648-0B27C1478397}" mc:Ignorable="x14ac xr xr2 xr3">
  <sheetPr>
    <tabColor theme="2" tint="-0.1"/>
  </sheetPr>
  <dimension ref="A1:R22"/>
  <sheetViews>
    <sheetView topLeftCell="A1" showGridLines="0" zoomScale="90" workbookViewId="0">
      <selection activeCell="A1" sqref="A1"/>
    </sheetView>
  </sheetViews>
  <sheetFormatPr defaultColWidth="10.57421875" customHeight="1" defaultRowHeight="15"/>
  <cols>
    <col min="1" max="1" style="3152" width="9.140625" hidden="1" customWidth="1"/>
    <col min="2" max="2" style="3154" width="9.140625" hidden="1" customWidth="1"/>
    <col min="3" max="3" style="4342" width="4.7109375" customWidth="1"/>
    <col min="4" max="4" style="3154" width="6.28125" customWidth="1"/>
    <col min="5" max="5" style="3154" width="36.7109375" customWidth="1"/>
    <col min="6" max="6" style="3154" width="9.57421875" customWidth="1"/>
    <col min="7" max="7" style="2624" width="42.421875" hidden="1" customWidth="1"/>
    <col min="8" max="8" style="3154" width="40.7109375" customWidth="1"/>
    <col min="9" max="9" style="2625" width="93.421875" customWidth="1"/>
    <col min="10" max="17" style="3154" width="10.57421875"/>
    <col min="18" max="18" style="4276" width="10.57421875"/>
  </cols>
  <sheetData>
    <row s="2625" customFormat="1" customHeight="1" ht="15" hidden="1">
      <c r="C1" s="678"/>
      <c r="H1" s="423">
        <v>4</v>
      </c>
      <c r="R1" s="426"/>
    </row>
    <row customHeight="1" ht="22.5" hidden="1">
      <c r="D2" s="545"/>
      <c r="E2" s="669"/>
      <c r="F2" s="1801" t="str">
        <f>IF(TEMPLATE_SPHERE="HEAT","Гкал/час","тыс. куб. м/сутки")</f>
        <v>Гкал/час</v>
      </c>
      <c r="G2" s="686"/>
      <c r="H2" s="686"/>
      <c r="I2" s="277"/>
    </row>
    <row s="2625" customFormat="1" customHeight="1" ht="15" hidden="1">
      <c r="C3" s="678"/>
      <c r="R3" s="426"/>
    </row>
    <row customHeight="1" ht="15">
      <c r="C4" s="162"/>
      <c r="D4" s="515"/>
      <c r="E4" s="515"/>
      <c r="F4" s="515"/>
      <c r="G4" s="515"/>
      <c r="H4" s="515"/>
    </row>
    <row customHeight="1" ht="37.5">
      <c r="C5" s="162"/>
      <c r="D5" s="2085"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085"/>
      <c r="F5" s="2085"/>
      <c r="G5" s="2085"/>
      <c r="H5" s="2085"/>
      <c r="I5" s="543"/>
    </row>
    <row customHeight="1" ht="15">
      <c r="C6" s="162"/>
      <c r="D6" s="2053" t="str">
        <f>IF(org=0,"Не определено",org)</f>
        <v>МУП г. Азова "Теплоэнерго"</v>
      </c>
      <c r="E6" s="2053"/>
      <c r="F6" s="2053"/>
      <c r="G6" s="2053"/>
      <c r="H6" s="2053"/>
      <c r="I6" s="543"/>
    </row>
    <row s="2624" customFormat="1" customHeight="1" ht="15">
      <c r="A7" s="765"/>
      <c r="C7" s="162"/>
      <c r="D7" s="682"/>
      <c r="E7" s="682"/>
      <c r="F7" s="682"/>
      <c r="G7" s="682"/>
      <c r="H7" s="758"/>
      <c r="I7" s="543"/>
      <c r="R7" s="681"/>
    </row>
    <row customHeight="1" ht="0.75">
      <c r="C8" s="162"/>
      <c r="D8" s="515"/>
      <c r="E8" s="515"/>
      <c r="F8" s="515"/>
      <c r="G8" s="515"/>
      <c r="H8" s="543" t="s">
        <v>116</v>
      </c>
    </row>
    <row customHeight="1" ht="15">
      <c r="C9" s="162"/>
      <c r="D9" s="717"/>
      <c r="E9" s="2213" t="s">
        <v>104</v>
      </c>
      <c r="F9" s="2214"/>
      <c r="G9" s="822" t="str">
        <f>IF(G8="","",INDEX(DIFFERENTIATION_UNMERGE_VD,MATCH(G8,DIFFERENTIATION_ID_DIFF,0)))</f>
        <v/>
      </c>
      <c r="H9" s="822">
        <f>IF(H8="","",INDEX(DIFFERENTIATION_UNMERGE_VD,MATCH(H8,DIFFERENTIATION_ID_DIFF,0)))</f>
        <v>0</v>
      </c>
      <c r="I9" s="1971" t="s">
        <v>292</v>
      </c>
    </row>
    <row s="2624" customFormat="1" customHeight="1" ht="15">
      <c r="A10" s="765"/>
      <c r="C10" s="162"/>
      <c r="D10" s="717"/>
      <c r="E10" s="2213" t="s">
        <v>551</v>
      </c>
      <c r="F10" s="2214"/>
      <c r="G10" s="822" t="str">
        <f>IF(G8="","",INDEX(DIFFERENTIATION_UNMERGE_AREA,MATCH(G8,DIFFERENTIATION_ID_DIFF,0)))</f>
        <v/>
      </c>
      <c r="H10" s="822" t="str">
        <f>IF(H8="","",INDEX(DIFFERENTIATION_UNMERGE_AREA,MATCH(H8,DIFFERENTIATION_ID_DIFF,0)))</f>
        <v/>
      </c>
      <c r="I10" s="1971"/>
      <c r="R10" s="681"/>
    </row>
    <row s="2624" customFormat="1" customHeight="1" ht="15">
      <c r="A11" s="765"/>
      <c r="C11" s="162"/>
      <c r="D11" s="717"/>
      <c r="E11" s="2213" t="s">
        <v>552</v>
      </c>
      <c r="F11" s="2214"/>
      <c r="G11" s="822" t="str">
        <f>IF(G8="","",INDEX(DIFFERENTIATION_UNMERGE_SYSTEM,MATCH(G8,DIFFERENTIATION_ID_DIFF,0)))</f>
        <v/>
      </c>
      <c r="H11" s="822" t="str">
        <f>IF(H8="","",INDEX(DIFFERENTIATION_UNMERGE_SYSTEM,MATCH(H8,DIFFERENTIATION_ID_DIFF,0)))</f>
        <v>без дифференциации</v>
      </c>
      <c r="I11" s="1971"/>
      <c r="R11" s="681"/>
    </row>
    <row s="2624" customFormat="1" customHeight="1" ht="15">
      <c r="A12" s="765"/>
      <c r="C12" s="162"/>
      <c r="D12" s="2215" t="s">
        <v>291</v>
      </c>
      <c r="E12" s="2216"/>
      <c r="F12" s="2216"/>
      <c r="G12" s="893"/>
      <c r="H12" s="893"/>
      <c r="I12" s="1971"/>
      <c r="R12" s="681"/>
    </row>
    <row customHeight="1" ht="33.75">
      <c r="C13" s="162"/>
      <c r="D13" s="767" t="s">
        <v>87</v>
      </c>
      <c r="E13" s="766" t="s">
        <v>293</v>
      </c>
      <c r="F13" s="766" t="s">
        <v>553</v>
      </c>
      <c r="G13" s="814" t="s">
        <v>294</v>
      </c>
      <c r="H13" s="760" t="s">
        <v>294</v>
      </c>
      <c r="I13" s="1971"/>
    </row>
    <row customHeight="1" ht="15" hidden="1">
      <c r="C14" s="162"/>
      <c r="D14" s="599" t="s">
        <v>108</v>
      </c>
      <c r="E14" s="599" t="s">
        <v>109</v>
      </c>
      <c r="F14" s="599" t="s">
        <v>89</v>
      </c>
      <c r="G14" s="665" t="str">
        <f>G1&amp;".1"</f>
        <v>.1</v>
      </c>
      <c r="H14" s="665" t="str">
        <f>H1&amp;".1"</f>
        <v>4.1</v>
      </c>
      <c r="I14" s="277"/>
    </row>
    <row customHeight="1" ht="15">
      <c r="A15" s="511"/>
      <c r="C15" s="532"/>
      <c r="D15" s="527">
        <v>1</v>
      </c>
      <c r="E15" s="683" t="str">
        <f>TP_P_A</f>
        <v>Количество поданных заявок</v>
      </c>
      <c r="F15" s="527" t="s">
        <v>1016</v>
      </c>
      <c r="G15" s="691"/>
      <c r="H15" s="691"/>
      <c r="I15" s="194"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row>
    <row customHeight="1" ht="15">
      <c r="A16" s="511"/>
      <c r="C16" s="532"/>
      <c r="D16" s="527">
        <v>2</v>
      </c>
      <c r="E16" s="267" t="str">
        <f>TP_P_B</f>
        <v>Количество рассмотренных заявок</v>
      </c>
      <c r="F16" s="527" t="s">
        <v>1016</v>
      </c>
      <c r="G16" s="691"/>
      <c r="H16" s="691"/>
      <c r="I16" s="194"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row>
    <row customHeight="1" ht="33.75">
      <c r="A17" s="511"/>
      <c r="C17" s="532"/>
      <c r="D17" s="527">
        <v>3</v>
      </c>
      <c r="E17" s="267"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7" t="s">
        <v>1016</v>
      </c>
      <c r="G17" s="691"/>
      <c r="H17" s="691"/>
      <c r="I17" s="194" t="str">
        <f>TP_P_NOTE_V</f>
        <v>Указывается количество заявок с решением об отказе в течение отчетного квартала.</v>
      </c>
    </row>
    <row customHeight="1" ht="36">
      <c r="A18" s="511"/>
      <c r="C18" s="532"/>
      <c r="D18" s="527">
        <v>4</v>
      </c>
      <c r="E18" s="267" t="str">
        <f>TP_P_V_1</f>
        <v>Причины отказа в заключении договора о подключении (технологическом присоединении) к системе теплоснабжения</v>
      </c>
      <c r="F18" s="527" t="s">
        <v>297</v>
      </c>
      <c r="G18" s="692"/>
      <c r="H18" s="692"/>
      <c r="I18" s="844"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row>
    <row customHeight="1" ht="57">
      <c r="A19" s="511"/>
      <c r="C19" s="532"/>
      <c r="D19" s="527">
        <v>5</v>
      </c>
      <c r="E19" s="267" t="str">
        <f>TP_P_G</f>
        <v>Резерв мощности источников тепловой энергии, входящих в систему теплоснабжения, в течение одного квартала, в том числе:</v>
      </c>
      <c r="F19" s="527" t="str">
        <f>IF(TEMPLATE_SPHERE="HEAT","Гкал/час","тыс. куб. м/сутки")</f>
        <v>Гкал/час</v>
      </c>
      <c r="G19" s="693">
        <f>SUM(G20:G22)</f>
        <v>0</v>
      </c>
      <c r="H19" s="693">
        <f>SUM(H20:H22)</f>
        <v>0</v>
      </c>
      <c r="I19" s="194"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customHeight="1" ht="15" hidden="1">
      <c r="D20" s="515" t="s">
        <v>1017</v>
      </c>
      <c r="E20" s="694"/>
      <c r="F20" s="515"/>
      <c r="G20" s="515"/>
      <c r="H20" s="515"/>
      <c r="I20" s="1803"/>
    </row>
    <row customHeight="1" ht="27.75">
      <c r="C21" s="457"/>
      <c r="D21" s="545" t="s">
        <v>306</v>
      </c>
      <c r="E21" s="676"/>
      <c r="F21" s="1801" t="str">
        <f>IF(TEMPLATE_SPHERE="HEAT","Гкал/час","тыс. куб. м/сутки")</f>
        <v>Гкал/час</v>
      </c>
      <c r="G21" s="686"/>
      <c r="H21" s="686"/>
      <c r="I21" s="2015"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customHeight="1" ht="15">
      <c r="A22" s="511"/>
      <c r="C22" s="511"/>
      <c r="D22" s="343"/>
      <c r="E22" s="586" t="s">
        <v>1018</v>
      </c>
      <c r="F22" s="578"/>
      <c r="G22" s="578"/>
      <c r="H22" s="578"/>
      <c r="I22" s="2017"/>
      <c r="R22" s="511"/>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неотрицательных чисел!" sqref="G21:H21 G2:H2">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C69288-EBC3-FCC8-1F88-67A1215FB2AB}" mc:Ignorable="x14ac xr xr2 xr3">
  <sheetPr>
    <tabColor theme="6" tint="0.4"/>
    <pageSetUpPr fitToPage="1"/>
  </sheetPr>
  <dimension ref="A1:P31"/>
  <sheetViews>
    <sheetView topLeftCell="A1" showGridLines="0" zoomScale="90" workbookViewId="0">
      <selection activeCell="A1" sqref="A1"/>
    </sheetView>
  </sheetViews>
  <sheetFormatPr defaultColWidth="10.57421875" customHeight="1" defaultRowHeight="14.25"/>
  <cols>
    <col min="1" max="1" style="4583" width="9.140625" hidden="1" customWidth="1"/>
    <col min="2" max="2" style="4564" width="9.140625" hidden="1" customWidth="1"/>
    <col min="3" max="3" style="4584" width="3.7109375" customWidth="1"/>
    <col min="4" max="4" style="2688" width="6.28125" customWidth="1"/>
    <col min="5" max="6" style="2688" width="64.140625" customWidth="1"/>
    <col min="7" max="7" style="2688" width="141.140625" customWidth="1"/>
    <col min="8" max="8" style="2688" width="10.57421875"/>
    <col min="9" max="10" style="2630" width="10.57421875"/>
    <col min="11" max="16" style="2688" width="10.57421875"/>
  </cols>
  <sheetData>
    <row customHeight="1" ht="14.25" hidden="1">
      <c r="M1" s="241"/>
      <c r="N1" s="241"/>
      <c r="P1" s="241"/>
    </row>
    <row customHeight="1" ht="14.25" hidden="1"/>
    <row customHeight="1" ht="14.25" hidden="1"/>
    <row customHeight="1" ht="3">
      <c r="C4" s="82"/>
      <c r="D4" s="69"/>
      <c r="E4" s="69"/>
      <c r="F4" s="70"/>
      <c r="G4" s="70"/>
    </row>
    <row customHeight="1" ht="27.75">
      <c r="C5" s="82"/>
      <c r="D5" s="229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297"/>
      <c r="F5" s="2297"/>
      <c r="G5" s="2298"/>
    </row>
    <row s="2624" customFormat="1" customHeight="1" ht="18">
      <c r="A6" s="888"/>
      <c r="B6" s="423"/>
      <c r="C6" s="377"/>
      <c r="D6" s="2299" t="str">
        <f>IF(org=0,"Не определено",org)</f>
        <v>МУП г. Азова "Теплоэнерго"</v>
      </c>
      <c r="E6" s="2300"/>
      <c r="F6" s="2300"/>
      <c r="G6" s="2301"/>
      <c r="I6" s="506"/>
      <c r="J6" s="506"/>
    </row>
    <row customHeight="1" ht="14.25">
      <c r="C7" s="82"/>
      <c r="D7" s="69"/>
      <c r="E7" s="81"/>
      <c r="F7" s="758"/>
      <c r="G7" s="179"/>
    </row>
    <row s="2950" customFormat="1" customHeight="1" ht="0.75">
      <c r="A8" s="1709"/>
      <c r="B8" s="1168"/>
      <c r="C8" s="377"/>
      <c r="D8" s="361"/>
      <c r="E8" s="395"/>
      <c r="F8" s="758"/>
      <c r="G8" s="179"/>
      <c r="I8" s="1664"/>
      <c r="J8" s="1664"/>
    </row>
    <row customHeight="1" ht="14.25">
      <c r="C9" s="82"/>
      <c r="D9" s="2062" t="s">
        <v>291</v>
      </c>
      <c r="E9" s="2062"/>
      <c r="F9" s="2062"/>
      <c r="G9" s="2302" t="s">
        <v>292</v>
      </c>
    </row>
    <row customHeight="1" ht="14.25">
      <c r="C10" s="82"/>
      <c r="D10" s="91" t="s">
        <v>87</v>
      </c>
      <c r="E10" s="94" t="s">
        <v>293</v>
      </c>
      <c r="F10" s="94" t="s">
        <v>383</v>
      </c>
      <c r="G10" s="2302"/>
    </row>
    <row customHeight="1" ht="12" hidden="1">
      <c r="C11" s="82"/>
      <c r="D11" s="72"/>
      <c r="E11" s="72"/>
      <c r="F11" s="72"/>
      <c r="G11" s="72"/>
    </row>
    <row customHeight="1" ht="62.25">
      <c r="A12" s="178"/>
      <c r="C12" s="82"/>
      <c r="D12" s="133">
        <v>1</v>
      </c>
      <c r="E12" s="183"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84" t="s">
        <v>297</v>
      </c>
      <c r="G12" s="137"/>
    </row>
    <row customHeight="1" ht="22.5">
      <c r="A13" s="178"/>
      <c r="C13" s="82"/>
      <c r="D13" s="133" t="s">
        <v>923</v>
      </c>
      <c r="E13" s="180"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84" t="s">
        <v>297</v>
      </c>
      <c r="G13" s="137"/>
    </row>
    <row customHeight="1" ht="14.25">
      <c r="A14" s="178"/>
      <c r="C14" s="82"/>
      <c r="D14" s="133" t="s">
        <v>959</v>
      </c>
      <c r="E14" s="181"/>
      <c r="F14" s="199"/>
      <c r="G14" s="2015"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customHeight="1" ht="15">
      <c r="A15" s="178"/>
      <c r="C15" s="82"/>
      <c r="D15" s="95"/>
      <c r="E15" s="345" t="s">
        <v>1019</v>
      </c>
      <c r="F15" s="187"/>
      <c r="G15" s="2017"/>
    </row>
    <row customHeight="1" ht="14.25">
      <c r="A16" s="178"/>
      <c r="C16" s="82"/>
      <c r="D16" s="133" t="s">
        <v>925</v>
      </c>
      <c r="E16" s="180"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84" t="s">
        <v>297</v>
      </c>
      <c r="G16" s="333"/>
    </row>
    <row customHeight="1" ht="14.25">
      <c r="A17" s="178"/>
      <c r="C17" s="82"/>
      <c r="D17" s="133" t="s">
        <v>967</v>
      </c>
      <c r="E17" s="181"/>
      <c r="F17" s="391"/>
      <c r="G17" s="2015"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row>
    <row s="4562" customFormat="1" customHeight="1" ht="21">
      <c r="A18" s="339"/>
      <c r="B18" s="132"/>
      <c r="C18" s="296"/>
      <c r="D18" s="343"/>
      <c r="E18" s="345" t="s">
        <v>1020</v>
      </c>
      <c r="F18" s="334"/>
      <c r="G18" s="2017"/>
      <c r="I18" s="346"/>
      <c r="J18" s="346"/>
    </row>
    <row s="2624" customFormat="1" customHeight="1" ht="256.5" hidden="1">
      <c r="A19" s="339"/>
      <c r="B19" s="423"/>
      <c r="C19" s="377"/>
      <c r="D19" s="890" t="s">
        <v>927</v>
      </c>
      <c r="E19" s="889" t="s">
        <v>1021</v>
      </c>
      <c r="F19" s="391"/>
      <c r="G19" s="333" t="s">
        <v>1022</v>
      </c>
      <c r="I19" s="506"/>
      <c r="J19" s="506"/>
    </row>
    <row s="4562" customFormat="1" customHeight="1" ht="14.25">
      <c r="A20" s="339"/>
      <c r="B20" s="132"/>
      <c r="C20" s="296"/>
      <c r="D20" s="891">
        <v>2</v>
      </c>
      <c r="E20" s="326" t="s">
        <v>1023</v>
      </c>
      <c r="F20" s="184" t="s">
        <v>297</v>
      </c>
      <c r="G20" s="333"/>
      <c r="I20" s="346"/>
      <c r="J20" s="346"/>
    </row>
    <row s="4562" customFormat="1" customHeight="1" ht="18.75" hidden="1">
      <c r="A21" s="339"/>
      <c r="B21" s="132"/>
      <c r="C21" s="296"/>
      <c r="D21" s="329" t="s">
        <v>853</v>
      </c>
      <c r="E21" s="328"/>
      <c r="F21" s="327"/>
      <c r="G21" s="337"/>
      <c r="H21" s="330"/>
      <c r="I21" s="346"/>
      <c r="J21" s="346"/>
    </row>
    <row customHeight="1" ht="15">
      <c r="A22" s="178"/>
      <c r="C22" s="82"/>
      <c r="D22" s="95"/>
      <c r="E22" s="189" t="s">
        <v>1024</v>
      </c>
      <c r="F22" s="334"/>
      <c r="G22" s="335"/>
    </row>
    <row s="2950" customFormat="1" customHeight="1" ht="22.5" hidden="1">
      <c r="A23" s="339"/>
      <c r="B23" s="1168"/>
      <c r="C23" s="377"/>
      <c r="D23" s="1713" t="s">
        <v>109</v>
      </c>
      <c r="E23" s="183" t="s">
        <v>1025</v>
      </c>
      <c r="F23" s="1710" t="s">
        <v>297</v>
      </c>
      <c r="G23" s="341"/>
      <c r="I23" s="1664"/>
      <c r="J23" s="1664"/>
    </row>
    <row s="2950" customFormat="1" customHeight="1" ht="14.25" hidden="1">
      <c r="A24" s="339"/>
      <c r="B24" s="1168"/>
      <c r="C24" s="377"/>
      <c r="D24" s="1713" t="s">
        <v>609</v>
      </c>
      <c r="E24" s="1712" t="s">
        <v>1026</v>
      </c>
      <c r="F24" s="1710" t="s">
        <v>297</v>
      </c>
      <c r="G24" s="333"/>
      <c r="I24" s="1664"/>
      <c r="J24" s="1664"/>
    </row>
    <row s="2950" customFormat="1" customHeight="1" ht="14.25" hidden="1">
      <c r="A25" s="339"/>
      <c r="B25" s="1168"/>
      <c r="C25" s="377"/>
      <c r="D25" s="1713" t="s">
        <v>612</v>
      </c>
      <c r="E25" s="181"/>
      <c r="F25" s="391"/>
      <c r="G25" s="2015" t="s">
        <v>1027</v>
      </c>
      <c r="I25" s="1664"/>
      <c r="J25" s="1664"/>
    </row>
    <row s="2950" customFormat="1" customHeight="1" ht="22.5" hidden="1">
      <c r="A26" s="339"/>
      <c r="B26" s="1168"/>
      <c r="C26" s="377"/>
      <c r="D26" s="343"/>
      <c r="E26" s="345" t="s">
        <v>1028</v>
      </c>
      <c r="F26" s="334"/>
      <c r="G26" s="2017"/>
      <c r="I26" s="1664"/>
      <c r="J26" s="1664"/>
    </row>
    <row customHeight="1" ht="3"/>
    <row customHeight="1" ht="14.25">
      <c r="D28" s="332"/>
      <c r="E28" s="331"/>
      <c r="F28" s="307"/>
      <c r="G28" s="307"/>
      <c r="H28" s="307"/>
      <c r="I28" s="307"/>
      <c r="J28" s="307"/>
      <c r="K28" s="307"/>
      <c r="L28" s="307"/>
      <c r="M28" s="307"/>
      <c r="N28" s="307"/>
      <c r="O28" s="307"/>
      <c r="P28" s="307"/>
    </row>
    <row customHeight="1" ht="14.25">
      <c r="D29" s="332"/>
      <c r="E29" s="588"/>
    </row>
    <row r="31" customHeight="1" ht="14.25">
      <c r="E31" s="764"/>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s>
  <printOptions horizontalCentered="1" verticalCentered="1"/>
  <pageMargins left="0.00" right="0.00" top="0.00" bottom="0.00" header="0.00" footer="0.79"/>
  <pageSetup paperSize="9" scale="38" fitToHeight="0" pageOrder="downThenOver" orientation="portrait" blackAndWhite="1"/>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398E38-42AB-92E8-54A7-ED5065E0755F}" mc:Ignorable="x14ac xr xr2 xr3">
  <sheetPr>
    <tabColor theme="6" tint="0.4"/>
  </sheetPr>
  <dimension ref="A1:L48"/>
  <sheetViews>
    <sheetView topLeftCell="C13" showGridLines="0" zoomScale="80" workbookViewId="0" tabSelected="1">
      <selection activeCell="G45" sqref="G45"/>
    </sheetView>
  </sheetViews>
  <sheetFormatPr defaultColWidth="10.57421875" customHeight="1" defaultRowHeight="14.25"/>
  <cols>
    <col min="1" max="1" style="3295" width="9.140625" hidden="1" customWidth="1"/>
    <col min="2" max="2" style="4564" width="9.140625" hidden="1" customWidth="1"/>
    <col min="3" max="3" style="4584" width="3.7109375" customWidth="1"/>
    <col min="4" max="4" style="2688" width="6.28125" customWidth="1"/>
    <col min="5" max="5" style="2688" width="63.421875" customWidth="1"/>
    <col min="6" max="6" style="2688" width="1.7109375" hidden="1" customWidth="1"/>
    <col min="7" max="8" style="2688" width="35.7109375" customWidth="1"/>
    <col min="9" max="9" style="2688" width="91.57421875" customWidth="1"/>
    <col min="10" max="10" style="2688" width="68.8515625" customWidth="1"/>
    <col min="11" max="12" style="2630" width="10.57421875"/>
  </cols>
  <sheetData>
    <row customHeight="1" ht="14.25" hidden="1"/>
    <row s="2950" customFormat="1" customHeight="1" ht="18.75" hidden="1">
      <c r="A2" s="1723"/>
      <c r="B2" s="1168"/>
      <c r="C2" s="1770" t="s">
        <v>438</v>
      </c>
      <c r="D2" s="1713"/>
      <c r="E2" s="185"/>
      <c r="F2" s="1710"/>
      <c r="G2" s="1710" t="s">
        <v>297</v>
      </c>
      <c r="H2" s="1169"/>
      <c r="K2" s="1664"/>
      <c r="L2" s="1664"/>
    </row>
    <row s="2950" customFormat="1" customHeight="1" ht="14.25" hidden="1">
      <c r="A3" s="1392"/>
      <c r="B3" s="1168"/>
      <c r="C3" s="340"/>
      <c r="K3" s="1664"/>
      <c r="L3" s="1664"/>
    </row>
    <row s="2950" customFormat="1" customHeight="1" ht="18.75" hidden="1">
      <c r="A4" s="1723"/>
      <c r="B4" s="1168"/>
      <c r="C4" s="1770" t="s">
        <v>438</v>
      </c>
      <c r="D4" s="1713"/>
      <c r="E4" s="191" t="s">
        <v>1029</v>
      </c>
      <c r="F4" s="1710"/>
      <c r="G4" s="243"/>
      <c r="H4" s="1710" t="s">
        <v>297</v>
      </c>
      <c r="K4" s="1664"/>
      <c r="L4" s="1664"/>
    </row>
    <row s="2950" customFormat="1" customHeight="1" ht="14.25" hidden="1">
      <c r="A5" s="1392"/>
      <c r="B5" s="1168"/>
      <c r="C5" s="340"/>
      <c r="K5" s="1664"/>
      <c r="L5" s="1664"/>
    </row>
    <row s="2950" customFormat="1" customHeight="1" ht="18.75" hidden="1">
      <c r="A6" s="1723"/>
      <c r="B6" s="1168"/>
      <c r="C6" s="1770" t="s">
        <v>438</v>
      </c>
      <c r="D6" s="1713"/>
      <c r="E6" s="192" t="s">
        <v>1030</v>
      </c>
      <c r="F6" s="1710"/>
      <c r="G6" s="243"/>
      <c r="H6" s="1710" t="s">
        <v>297</v>
      </c>
      <c r="K6" s="1664"/>
      <c r="L6" s="1664"/>
    </row>
    <row s="2950" customFormat="1" customHeight="1" ht="14.25" hidden="1">
      <c r="A7" s="1392"/>
      <c r="B7" s="1168"/>
      <c r="C7" s="340"/>
      <c r="K7" s="1664"/>
      <c r="L7" s="1664"/>
    </row>
    <row s="2950" customFormat="1" customHeight="1" ht="18.75" hidden="1">
      <c r="A8" s="1723"/>
      <c r="B8" s="1168"/>
      <c r="C8" s="1770" t="s">
        <v>438</v>
      </c>
      <c r="D8" s="1713"/>
      <c r="E8" s="192" t="s">
        <v>1031</v>
      </c>
      <c r="F8" s="1710"/>
      <c r="G8" s="243"/>
      <c r="H8" s="1710" t="s">
        <v>297</v>
      </c>
      <c r="K8" s="1664"/>
      <c r="L8" s="1664"/>
    </row>
    <row s="2950" customFormat="1" customHeight="1" ht="14.25" hidden="1">
      <c r="A9" s="1392"/>
      <c r="B9" s="1168"/>
      <c r="C9" s="340"/>
      <c r="K9" s="1664"/>
      <c r="L9" s="1664"/>
    </row>
    <row s="2950" customFormat="1" customHeight="1" ht="18.75" hidden="1">
      <c r="A10" s="1723"/>
      <c r="B10" s="1168"/>
      <c r="C10" s="1770" t="s">
        <v>438</v>
      </c>
      <c r="D10" s="1713"/>
      <c r="E10" s="192" t="s">
        <v>1032</v>
      </c>
      <c r="F10" s="1710"/>
      <c r="G10" s="1714"/>
      <c r="H10" s="1710" t="s">
        <v>297</v>
      </c>
      <c r="K10" s="1664"/>
      <c r="L10" s="1664" t="s">
        <v>1033</v>
      </c>
    </row>
    <row customHeight="1" ht="14.25" hidden="1"/>
    <row customHeight="1" ht="14.25" hidden="1"/>
    <row customHeight="1" ht="14.25">
      <c r="C13" s="82"/>
      <c r="D13" s="69"/>
      <c r="E13" s="69"/>
      <c r="F13" s="69"/>
      <c r="G13" s="69"/>
      <c r="H13" s="70"/>
      <c r="I13" s="70"/>
    </row>
    <row customHeight="1" ht="27.75">
      <c r="C14" s="82"/>
      <c r="D14" s="229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297"/>
      <c r="F14" s="2297"/>
      <c r="G14" s="2297"/>
      <c r="H14" s="2298"/>
      <c r="J14" s="1671"/>
    </row>
    <row s="2950" customFormat="1" customHeight="1" ht="14.25">
      <c r="A15" s="1392"/>
      <c r="B15" s="1168"/>
      <c r="C15" s="377"/>
      <c r="D15" s="2299" t="str">
        <f>IF(org=0,"Не определено",org)</f>
        <v>МУП г. Азова "Теплоэнерго"</v>
      </c>
      <c r="E15" s="2300"/>
      <c r="F15" s="2300"/>
      <c r="G15" s="2300"/>
      <c r="H15" s="2301"/>
      <c r="J15" s="858"/>
      <c r="K15" s="1664"/>
      <c r="L15" s="1664"/>
    </row>
    <row customHeight="1" ht="14.25">
      <c r="C16" s="82"/>
      <c r="D16" s="69"/>
      <c r="E16" s="81"/>
      <c r="F16" s="81"/>
      <c r="G16" s="81"/>
      <c r="H16" s="758"/>
      <c r="I16" s="179"/>
    </row>
    <row s="2950" customFormat="1" customHeight="1" ht="14.25" hidden="1">
      <c r="A17" s="1392"/>
      <c r="B17" s="1168"/>
      <c r="C17" s="377"/>
      <c r="D17" s="361"/>
      <c r="E17" s="395"/>
      <c r="F17" s="395"/>
      <c r="G17" s="395"/>
      <c r="H17" s="758"/>
      <c r="I17" s="179"/>
      <c r="K17" s="1664"/>
      <c r="L17" s="1664"/>
    </row>
    <row customHeight="1" ht="21">
      <c r="C18" s="82"/>
      <c r="D18" s="2062" t="s">
        <v>291</v>
      </c>
      <c r="E18" s="2062"/>
      <c r="F18" s="2062"/>
      <c r="G18" s="2062"/>
      <c r="H18" s="2062"/>
      <c r="I18" s="2302" t="s">
        <v>292</v>
      </c>
    </row>
    <row customHeight="1" ht="21">
      <c r="C19" s="82"/>
      <c r="D19" s="91" t="s">
        <v>87</v>
      </c>
      <c r="E19" s="94" t="s">
        <v>293</v>
      </c>
      <c r="F19" s="94"/>
      <c r="G19" s="94" t="s">
        <v>294</v>
      </c>
      <c r="H19" s="94" t="s">
        <v>383</v>
      </c>
      <c r="I19" s="2302"/>
    </row>
    <row customHeight="1" ht="12" hidden="1">
      <c r="C20" s="82"/>
      <c r="D20" s="72"/>
      <c r="E20" s="72"/>
      <c r="F20" s="72"/>
      <c r="G20" s="72"/>
      <c r="H20" s="72"/>
      <c r="I20" s="72"/>
    </row>
    <row customHeight="1" ht="14.25">
      <c r="A21" s="1723"/>
      <c r="C21" s="82"/>
      <c r="D21" s="133">
        <v>1</v>
      </c>
      <c r="E21" s="2304" t="s">
        <v>1034</v>
      </c>
      <c r="F21" s="2304"/>
      <c r="G21" s="2304"/>
      <c r="H21" s="2304"/>
      <c r="I21" s="194"/>
    </row>
    <row customHeight="1" ht="20.25">
      <c r="A22" s="1723"/>
      <c r="C22" s="82"/>
      <c r="D22" s="133" t="s">
        <v>923</v>
      </c>
      <c r="E22" s="180" t="s">
        <v>1035</v>
      </c>
      <c r="F22" s="184"/>
      <c r="G22" s="4594">
        <v>45259.70694444444</v>
      </c>
      <c r="H22" s="184" t="s">
        <v>297</v>
      </c>
      <c r="I22" s="137" t="s">
        <v>1036</v>
      </c>
    </row>
    <row customHeight="1" ht="45">
      <c r="A23" s="1723"/>
      <c r="C23" s="82"/>
      <c r="D23" s="133" t="s">
        <v>925</v>
      </c>
      <c r="E23" s="180" t="s">
        <v>1037</v>
      </c>
      <c r="F23" s="184"/>
      <c r="G23" s="4595" t="s">
        <v>1038</v>
      </c>
      <c r="H23" s="4596" t="s">
        <v>1039</v>
      </c>
      <c r="I23" s="244" t="s">
        <v>1040</v>
      </c>
    </row>
    <row customHeight="1" ht="35.833333333333336">
      <c r="A24" s="1723"/>
      <c r="B24" s="132">
        <v>3</v>
      </c>
      <c r="C24" s="82"/>
      <c r="D24" s="133">
        <v>2</v>
      </c>
      <c r="E24" s="20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84"/>
      <c r="G24" s="184" t="s">
        <v>297</v>
      </c>
      <c r="H24" s="4596" t="s">
        <v>1041</v>
      </c>
      <c r="I24" s="245" t="s">
        <v>790</v>
      </c>
    </row>
    <row customHeight="1" ht="46.5">
      <c r="A25" s="1723"/>
      <c r="C25" s="82"/>
      <c r="D25" s="133">
        <v>3</v>
      </c>
      <c r="E25" s="230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03"/>
      <c r="G25" s="2303"/>
      <c r="H25" s="2303"/>
      <c r="I25" s="242"/>
    </row>
    <row customHeight="1" ht="51.666666666666664">
      <c r="A26" s="1723"/>
      <c r="C26" s="82"/>
      <c r="D26" s="133" t="s">
        <v>317</v>
      </c>
      <c r="E26" s="185" t="s">
        <v>1042</v>
      </c>
      <c r="F26" s="184"/>
      <c r="G26" s="184" t="s">
        <v>297</v>
      </c>
      <c r="H26" s="4596" t="s">
        <v>1041</v>
      </c>
      <c r="I26" s="2015" t="s">
        <v>1043</v>
      </c>
    </row>
    <row customHeight="1" ht="15">
      <c r="A27" s="1723" t="s">
        <v>108</v>
      </c>
      <c r="C27" s="82"/>
      <c r="D27" s="95"/>
      <c r="E27" s="189" t="s">
        <v>1024</v>
      </c>
      <c r="F27" s="190"/>
      <c r="G27" s="190"/>
      <c r="H27" s="187"/>
      <c r="I27" s="2017"/>
    </row>
    <row customHeight="1" ht="38.25">
      <c r="A28" s="1723"/>
      <c r="B28" s="132">
        <v>3</v>
      </c>
      <c r="C28" s="82"/>
      <c r="D28" s="133">
        <v>4</v>
      </c>
      <c r="E28" s="230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03"/>
      <c r="G28" s="2303"/>
      <c r="H28" s="2303"/>
      <c r="I28" s="242"/>
    </row>
    <row customHeight="1" ht="20.25">
      <c r="A29" s="1723"/>
      <c r="C29" s="82"/>
      <c r="D29" s="133" t="s">
        <v>654</v>
      </c>
      <c r="E29" s="191" t="s">
        <v>1029</v>
      </c>
      <c r="F29" s="184"/>
      <c r="G29" s="243" t="s">
        <v>1044</v>
      </c>
      <c r="H29" s="184" t="s">
        <v>297</v>
      </c>
      <c r="I29" s="2015" t="s">
        <v>1045</v>
      </c>
    </row>
    <row s="3374" customFormat="1" customHeight="1" ht="18.75">
      <c r="A30" s="4603"/>
      <c r="B30" s="3513"/>
      <c r="C30" s="4604" t="s">
        <v>438</v>
      </c>
      <c r="D30" s="4605" t="s">
        <v>697</v>
      </c>
      <c r="E30" s="4606" t="s">
        <v>1029</v>
      </c>
      <c r="F30" s="3538"/>
      <c r="G30" s="4607" t="s">
        <v>1046</v>
      </c>
      <c r="H30" s="3538" t="s">
        <v>297</v>
      </c>
      <c r="I30" s="3374"/>
      <c r="J30" s="3374"/>
      <c r="K30" s="3599"/>
      <c r="L30" s="3599"/>
    </row>
    <row s="3374" customFormat="1" customHeight="1" ht="18.75">
      <c r="A31" s="4603"/>
      <c r="B31" s="3513"/>
      <c r="C31" s="4604" t="s">
        <v>438</v>
      </c>
      <c r="D31" s="4605" t="s">
        <v>700</v>
      </c>
      <c r="E31" s="4606" t="s">
        <v>1029</v>
      </c>
      <c r="F31" s="3538"/>
      <c r="G31" s="4607" t="s">
        <v>1047</v>
      </c>
      <c r="H31" s="3538" t="s">
        <v>297</v>
      </c>
      <c r="I31" s="3374"/>
      <c r="J31" s="3374"/>
      <c r="K31" s="3599"/>
      <c r="L31" s="3599"/>
    </row>
    <row s="3374" customFormat="1" customHeight="1" ht="18.75">
      <c r="A32" s="4603"/>
      <c r="B32" s="3513"/>
      <c r="C32" s="4604" t="s">
        <v>438</v>
      </c>
      <c r="D32" s="4605" t="s">
        <v>778</v>
      </c>
      <c r="E32" s="4606" t="s">
        <v>1029</v>
      </c>
      <c r="F32" s="3538"/>
      <c r="G32" s="4607" t="s">
        <v>1048</v>
      </c>
      <c r="H32" s="3538" t="s">
        <v>297</v>
      </c>
      <c r="I32" s="3374"/>
      <c r="J32" s="3374"/>
      <c r="K32" s="3599"/>
      <c r="L32" s="3599"/>
    </row>
    <row customHeight="1" ht="15">
      <c r="A33" s="1723" t="s">
        <v>109</v>
      </c>
      <c r="C33" s="82"/>
      <c r="D33" s="95"/>
      <c r="E33" s="189" t="s">
        <v>1024</v>
      </c>
      <c r="F33" s="190"/>
      <c r="G33" s="190"/>
      <c r="H33" s="187"/>
      <c r="I33" s="2017"/>
    </row>
    <row customHeight="1" ht="30">
      <c r="A34" s="1723"/>
      <c r="B34" s="132">
        <v>3</v>
      </c>
      <c r="C34" s="82"/>
      <c r="D34" s="133">
        <v>5</v>
      </c>
      <c r="E34" s="230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4" s="2303"/>
      <c r="G34" s="2303"/>
      <c r="H34" s="2303"/>
      <c r="I34" s="242"/>
    </row>
    <row customHeight="1" ht="26.25">
      <c r="A35" s="1723"/>
      <c r="C35" s="82"/>
      <c r="D35" s="133" t="s">
        <v>306</v>
      </c>
      <c r="E35" s="224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5" s="2245"/>
      <c r="G35" s="2245"/>
      <c r="H35" s="2245"/>
      <c r="I35" s="242"/>
    </row>
    <row customHeight="1" ht="14.25">
      <c r="A36" s="1723"/>
      <c r="C36" s="82"/>
      <c r="D36" s="133" t="s">
        <v>1049</v>
      </c>
      <c r="E36" s="192" t="s">
        <v>1030</v>
      </c>
      <c r="F36" s="184"/>
      <c r="G36" s="243" t="s">
        <v>1050</v>
      </c>
      <c r="H36" s="184" t="s">
        <v>297</v>
      </c>
      <c r="I36" s="2015" t="s">
        <v>1051</v>
      </c>
    </row>
    <row customHeight="1" ht="15">
      <c r="A37" s="1723" t="s">
        <v>89</v>
      </c>
      <c r="C37" s="82"/>
      <c r="D37" s="95"/>
      <c r="E37" s="190" t="s">
        <v>1024</v>
      </c>
      <c r="F37" s="186"/>
      <c r="G37" s="186"/>
      <c r="H37" s="187"/>
      <c r="I37" s="2017"/>
    </row>
    <row customHeight="1" ht="24">
      <c r="A38" s="1723"/>
      <c r="C38" s="82"/>
      <c r="D38" s="133" t="s">
        <v>308</v>
      </c>
      <c r="E38" s="224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8" s="2245"/>
      <c r="G38" s="2245"/>
      <c r="H38" s="2245"/>
      <c r="I38" s="242"/>
    </row>
    <row customHeight="1" ht="50.625">
      <c r="A39" s="1723"/>
      <c r="C39" s="82"/>
      <c r="D39" s="133" t="s">
        <v>1052</v>
      </c>
      <c r="E39" s="192" t="s">
        <v>1031</v>
      </c>
      <c r="F39" s="184"/>
      <c r="G39" s="243" t="s">
        <v>1053</v>
      </c>
      <c r="H39" s="184" t="s">
        <v>297</v>
      </c>
      <c r="I39" s="1993" t="s">
        <v>1054</v>
      </c>
    </row>
    <row customHeight="1" ht="15">
      <c r="A40" s="1723" t="s">
        <v>90</v>
      </c>
      <c r="C40" s="82"/>
      <c r="D40" s="95"/>
      <c r="E40" s="190" t="s">
        <v>1024</v>
      </c>
      <c r="F40" s="186"/>
      <c r="G40" s="186"/>
      <c r="H40" s="187"/>
      <c r="I40" s="1993"/>
    </row>
    <row customHeight="1" ht="26.25">
      <c r="A41" s="1723"/>
      <c r="C41" s="82"/>
      <c r="D41" s="133" t="s">
        <v>311</v>
      </c>
      <c r="E41" s="224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41" s="2245"/>
      <c r="G41" s="2245"/>
      <c r="H41" s="2245"/>
      <c r="I41" s="242"/>
    </row>
    <row customHeight="1" ht="14.25">
      <c r="A42" s="1723"/>
      <c r="C42" s="82"/>
      <c r="D42" s="133" t="s">
        <v>783</v>
      </c>
      <c r="E42" s="192" t="s">
        <v>1032</v>
      </c>
      <c r="F42" s="184"/>
      <c r="G42" s="193" t="s">
        <v>1055</v>
      </c>
      <c r="H42" s="184" t="s">
        <v>297</v>
      </c>
      <c r="I42" s="2015" t="s">
        <v>1056</v>
      </c>
      <c r="L42" s="141" t="s">
        <v>1033</v>
      </c>
    </row>
    <row s="3374" customFormat="1" customHeight="1" ht="18.75">
      <c r="A43" s="4603"/>
      <c r="B43" s="3513"/>
      <c r="C43" s="4604" t="s">
        <v>438</v>
      </c>
      <c r="D43" s="4605" t="s">
        <v>784</v>
      </c>
      <c r="E43" s="4610" t="s">
        <v>1032</v>
      </c>
      <c r="F43" s="3538"/>
      <c r="G43" s="4611" t="s">
        <v>1057</v>
      </c>
      <c r="H43" s="3538" t="s">
        <v>297</v>
      </c>
      <c r="I43" s="3374"/>
      <c r="J43" s="3374"/>
      <c r="K43" s="3599"/>
      <c r="L43" s="3599" t="s">
        <v>1033</v>
      </c>
    </row>
    <row s="3374" customFormat="1" customHeight="1" ht="18.75">
      <c r="A44" s="4603"/>
      <c r="B44" s="3513"/>
      <c r="C44" s="4604" t="s">
        <v>438</v>
      </c>
      <c r="D44" s="4605" t="s">
        <v>1058</v>
      </c>
      <c r="E44" s="4610" t="s">
        <v>1032</v>
      </c>
      <c r="F44" s="3538"/>
      <c r="G44" s="4611" t="s">
        <v>1059</v>
      </c>
      <c r="H44" s="3538" t="s">
        <v>297</v>
      </c>
      <c r="I44" s="3374"/>
      <c r="J44" s="3374"/>
      <c r="K44" s="3599"/>
      <c r="L44" s="3599" t="s">
        <v>1033</v>
      </c>
    </row>
    <row s="3374" customFormat="1" customHeight="1" ht="18.75">
      <c r="A45" s="4603"/>
      <c r="B45" s="3513"/>
      <c r="C45" s="4604" t="s">
        <v>438</v>
      </c>
      <c r="D45" s="4605" t="s">
        <v>1060</v>
      </c>
      <c r="E45" s="4610" t="s">
        <v>1032</v>
      </c>
      <c r="F45" s="3538"/>
      <c r="G45" s="4611" t="s">
        <v>1061</v>
      </c>
      <c r="H45" s="3538" t="s">
        <v>297</v>
      </c>
      <c r="I45" s="3374"/>
      <c r="J45" s="3374"/>
      <c r="K45" s="3599"/>
      <c r="L45" s="3599" t="s">
        <v>1033</v>
      </c>
    </row>
    <row customHeight="1" ht="15">
      <c r="A46" s="1723" t="s">
        <v>110</v>
      </c>
      <c r="C46" s="82"/>
      <c r="D46" s="95"/>
      <c r="E46" s="190" t="s">
        <v>1024</v>
      </c>
      <c r="F46" s="186"/>
      <c r="G46" s="186"/>
      <c r="H46" s="187"/>
      <c r="I46" s="2017"/>
    </row>
    <row s="4612" customFormat="1" customHeight="1" ht="3">
      <c r="A47" s="1723"/>
      <c r="K47" s="182"/>
      <c r="L47" s="182"/>
    </row>
    <row customHeight="1" ht="24.75">
      <c r="D48" s="1721" t="s">
        <v>705</v>
      </c>
      <c r="E48" s="210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8" s="2106"/>
      <c r="G48" s="2106"/>
      <c r="H48" s="2106"/>
      <c r="I48" s="2106"/>
    </row>
  </sheetData>
  <sheetProtection formatColumns="0" formatRows="0" autoFilter="0" sort="0" insertRows="0" insertColumns="1" deleteRows="0" deleteColumns="0"/>
  <mergeCells count="17">
    <mergeCell ref="E48:I48"/>
    <mergeCell ref="E35:H35"/>
    <mergeCell ref="E38:H38"/>
    <mergeCell ref="E41:H41"/>
    <mergeCell ref="I36:I37"/>
    <mergeCell ref="I39:I40"/>
    <mergeCell ref="I42:I46"/>
    <mergeCell ref="I29:I33"/>
    <mergeCell ref="E34:H34"/>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2:G45">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textLength" operator="lessThanOrEqual" allowBlank="1" showInputMessage="1" showErrorMessage="1" errorTitle="Ошибка" error="Допускается ввод не более 900 символов!" sqref="I23:I24 I36 G39 I42:I45 I26 E29:E32 G36 E39 I29:I32 E36 I39 G23 E26 I10 E23 G29:G32 E10 G8 E2 I2 I4 G4 E4 E6 I6 G6 E8 I8 E42:E45">
      <formula1>900</formula1>
    </dataValidation>
  </dataValidations>
  <hyperlinks>
    <hyperlink ref="G23" r:id="rId2" xr:uid="{DDB8337F-AA78-55D8-C64C-CABAA83127D6}"/>
    <hyperlink ref="H23" r:id="rId3" xr:uid="{0043EBAD-9F38-DD4B-5358-462754BB7798}"/>
    <hyperlink ref="H24" r:id="rId4" xr:uid="{D422C519-4C42-E368-A1A4-4D2D0F5899F6}"/>
    <hyperlink ref="H26" r:id="rId5" xr:uid="{C1342E48-170B-1BDC-5905-A28A0002F6D8}"/>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4CD6CB-6F88-60E8-E548-A6EC5B34D6D8}" mc:Ignorable="x14ac xr xr2 xr3">
  <sheetPr>
    <tabColor theme="6" tint="0.4"/>
  </sheetPr>
  <dimension ref="A1:AG317"/>
  <sheetViews>
    <sheetView topLeftCell="A1" showGridLines="0" zoomScale="90" workbookViewId="0">
      <selection activeCell="A1" sqref="A1"/>
    </sheetView>
  </sheetViews>
  <sheetFormatPr defaultColWidth="10.57421875" customHeight="1" defaultRowHeight="14.25"/>
  <cols>
    <col min="1" max="2" style="4615" width="25.140625" hidden="1" customWidth="1"/>
    <col min="3" max="3" style="4140" width="9.140625" hidden="1" customWidth="1"/>
    <col min="4" max="4" style="3372" width="3.7109375" customWidth="1"/>
    <col min="5" max="5" style="4651" width="6.28125" customWidth="1"/>
    <col min="6" max="6" style="4651" width="46.7109375" customWidth="1"/>
    <col min="7" max="7" style="4651" width="35.7109375" customWidth="1"/>
    <col min="8" max="8" style="4651" width="3.7109375" customWidth="1"/>
    <col min="9" max="10" style="4651" width="11.7109375" customWidth="1"/>
    <col min="11" max="12" style="4651" width="35.7109375" customWidth="1"/>
    <col min="13" max="13" style="4651" width="84.8515625" customWidth="1"/>
    <col min="14" max="14" style="4651" width="10.57421875"/>
    <col min="15" max="16" style="4567" width="10.57421875"/>
    <col min="17" max="33" style="4651" width="10.57421875"/>
  </cols>
  <sheetData>
    <row s="2950" customFormat="1" customHeight="1" ht="14.25" hidden="1">
      <c r="A1" s="1820"/>
      <c r="B1" s="1820"/>
      <c r="C1" s="369"/>
      <c r="D1" s="340"/>
      <c r="N1" s="1676">
        <f>_xlfn.IFERROR(MATCH("метод экономически обоснованных расходов (затрат)",OFFER_METHOD,0),0)</f>
        <v>0</v>
      </c>
      <c r="O1" s="1664"/>
      <c r="P1" s="1664"/>
      <c r="T1" s="837"/>
      <c r="AG1" s="241"/>
    </row>
    <row s="2950" customFormat="1" customHeight="1" ht="18.75" hidden="1">
      <c r="A2" s="1821" t="s">
        <v>154</v>
      </c>
      <c r="B2" s="1821" t="s">
        <v>155</v>
      </c>
      <c r="C2" s="369"/>
      <c r="D2" s="340"/>
      <c r="E2" s="1038"/>
      <c r="F2" s="1038"/>
      <c r="G2" s="2266" t="str">
        <f>INDEX(PT_DIFFERENTIATION_NTAR,MATCH(B2,PT_DIFFERENTIATION_NTAR_ID,0))</f>
        <v/>
      </c>
      <c r="H2" s="1907"/>
      <c r="I2" s="1779"/>
      <c r="J2" s="1814"/>
      <c r="K2" s="1908"/>
      <c r="L2" s="1907" t="s">
        <v>297</v>
      </c>
      <c r="M2" s="1918"/>
      <c r="N2" s="330"/>
      <c r="O2" s="1664"/>
      <c r="P2" s="1664"/>
    </row>
    <row s="2950" customFormat="1" customHeight="1" ht="18.75" hidden="1">
      <c r="A3" s="1821"/>
      <c r="B3" s="1821"/>
      <c r="C3" s="369" t="s">
        <v>1062</v>
      </c>
      <c r="D3" s="340"/>
      <c r="E3" s="1038"/>
      <c r="F3" s="1038"/>
      <c r="G3" s="2266"/>
      <c r="H3" s="1530"/>
      <c r="I3" s="657" t="s">
        <v>1063</v>
      </c>
      <c r="J3" s="577"/>
      <c r="K3" s="1530"/>
      <c r="L3" s="200"/>
      <c r="M3" s="1918"/>
      <c r="N3" s="330"/>
      <c r="O3" s="1664"/>
      <c r="P3" s="1664"/>
    </row>
    <row s="2950" customFormat="1" customHeight="1" ht="14.25" hidden="1">
      <c r="A4" s="1820"/>
      <c r="B4" s="1820"/>
      <c r="C4" s="369"/>
      <c r="D4" s="340"/>
      <c r="N4" s="1676">
        <f>_xlfn.IFERROR(MATCH("метод экономически обоснованных расходов (затрат)",OFFER_METHOD,0),0)</f>
        <v>0</v>
      </c>
      <c r="O4" s="1664"/>
      <c r="P4" s="1664"/>
      <c r="T4" s="837"/>
      <c r="AG4" s="241"/>
    </row>
    <row s="2950" customFormat="1" customHeight="1" ht="18.75" hidden="1">
      <c r="A5" s="1821" t="s">
        <v>154</v>
      </c>
      <c r="B5" s="1821" t="s">
        <v>155</v>
      </c>
      <c r="C5" s="369"/>
      <c r="D5" s="340"/>
      <c r="E5" s="1038"/>
      <c r="F5" s="1038"/>
      <c r="G5" s="2266" t="str">
        <f>INDEX(PT_DIFFERENTIATION_NTAR,MATCH(B5,PT_DIFFERENTIATION_NTAR_ID,0))</f>
        <v/>
      </c>
      <c r="H5" s="1907"/>
      <c r="I5" s="1779"/>
      <c r="J5" s="1814"/>
      <c r="K5" s="1819"/>
      <c r="L5" s="1907" t="s">
        <v>297</v>
      </c>
      <c r="M5" s="1918"/>
      <c r="N5" s="330"/>
      <c r="O5" s="1664"/>
      <c r="P5" s="1664"/>
    </row>
    <row s="2950" customFormat="1" customHeight="1" ht="18.75" hidden="1">
      <c r="A6" s="1821"/>
      <c r="B6" s="1821"/>
      <c r="C6" s="369" t="s">
        <v>1064</v>
      </c>
      <c r="D6" s="340"/>
      <c r="E6" s="1038"/>
      <c r="F6" s="1038"/>
      <c r="G6" s="2266"/>
      <c r="H6" s="1530"/>
      <c r="I6" s="657" t="s">
        <v>1063</v>
      </c>
      <c r="J6" s="577"/>
      <c r="K6" s="1530"/>
      <c r="L6" s="200"/>
      <c r="M6" s="1918"/>
      <c r="N6" s="330"/>
      <c r="O6" s="1664"/>
      <c r="P6" s="1664"/>
    </row>
    <row s="2950" customFormat="1" customHeight="1" ht="14.25" hidden="1">
      <c r="A7" s="1820"/>
      <c r="B7" s="1820"/>
      <c r="C7" s="369"/>
      <c r="D7" s="340"/>
      <c r="N7" s="1676">
        <f>_xlfn.IFERROR(MATCH("метод экономически обоснованных расходов (затрат)",OFFER_METHOD,0),0)</f>
        <v>0</v>
      </c>
      <c r="O7" s="1664"/>
      <c r="P7" s="1664"/>
      <c r="T7" s="837"/>
      <c r="AG7" s="241"/>
    </row>
    <row s="2950" customFormat="1" customHeight="1" ht="56.25" hidden="1">
      <c r="A8" s="1821"/>
      <c r="B8" s="1821"/>
      <c r="C8" s="369"/>
      <c r="D8" s="340"/>
      <c r="E8" s="1038"/>
      <c r="F8" s="1038"/>
      <c r="G8" s="1038"/>
      <c r="H8" s="1812"/>
      <c r="I8" s="1779"/>
      <c r="J8" s="1814"/>
      <c r="K8" s="1908"/>
      <c r="L8" s="1812" t="s">
        <v>297</v>
      </c>
      <c r="M8" s="1918"/>
      <c r="N8" s="330"/>
      <c r="O8" s="1664"/>
      <c r="P8" s="1664"/>
    </row>
    <row customHeight="1" ht="14.25" hidden="1">
      <c r="T9" s="403"/>
      <c r="AG9" s="241"/>
    </row>
    <row s="2950" customFormat="1" customHeight="1" ht="56.25" hidden="1">
      <c r="A10" s="1821"/>
      <c r="B10" s="1821"/>
      <c r="C10" s="369"/>
      <c r="D10" s="340"/>
      <c r="E10" s="1038"/>
      <c r="F10" s="1038"/>
      <c r="G10" s="1038"/>
      <c r="H10" s="1811"/>
      <c r="I10" s="1779"/>
      <c r="J10" s="1814"/>
      <c r="K10" s="1819"/>
      <c r="L10" s="1812" t="s">
        <v>297</v>
      </c>
      <c r="M10" s="1918"/>
      <c r="N10" s="330"/>
      <c r="O10" s="1664"/>
      <c r="P10" s="1664"/>
    </row>
    <row customHeight="1" ht="14.25" hidden="1"/>
    <row customHeight="1" ht="14.25" hidden="1"/>
    <row customHeight="1" ht="6">
      <c r="D13" s="377"/>
      <c r="E13" s="361"/>
      <c r="F13" s="361"/>
      <c r="G13" s="361"/>
      <c r="H13" s="361"/>
      <c r="I13" s="361"/>
      <c r="J13" s="361"/>
      <c r="K13" s="361"/>
      <c r="L13" s="70"/>
      <c r="M13" s="70"/>
    </row>
    <row customHeight="1" ht="14.25">
      <c r="D14" s="377"/>
      <c r="E14" s="230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05"/>
      <c r="G14" s="2305"/>
      <c r="H14" s="2305"/>
      <c r="I14" s="2305"/>
      <c r="J14" s="2305"/>
      <c r="K14" s="2305"/>
      <c r="L14" s="2305"/>
      <c r="M14" s="206"/>
    </row>
    <row customHeight="1" ht="6">
      <c r="D15" s="377"/>
      <c r="E15" s="361"/>
      <c r="F15" s="395"/>
      <c r="G15" s="395"/>
      <c r="H15" s="395"/>
      <c r="I15" s="395"/>
      <c r="J15" s="395"/>
      <c r="K15" s="395"/>
      <c r="L15" s="316"/>
      <c r="M15" s="179"/>
    </row>
    <row customHeight="1" ht="18.75">
      <c r="D16" s="377"/>
      <c r="E16" s="361"/>
      <c r="F16" s="294" t="str">
        <f>"Дата подачи заявления об "&amp;IF(TITLE_DATE_PR_CHANGE="","утверждении","изменении")&amp;" тарифов"</f>
        <v>Дата подачи заявления об утверждении тарифов</v>
      </c>
      <c r="G16" s="2099" t="str">
        <f>IF(TITLE_DATE_PR_CHANGE="",IF(TITLE_DATE_PR="","",TITLE_DATE_PR),TITLE_DATE_PR_CHANGE)</f>
        <v>45245.61800925926</v>
      </c>
      <c r="H16" s="2099"/>
      <c r="I16" s="2099"/>
      <c r="J16" s="2099"/>
      <c r="K16" s="2099"/>
      <c r="L16" s="2099"/>
      <c r="M16" s="404"/>
      <c r="N16" s="322"/>
    </row>
    <row customHeight="1" ht="18.75">
      <c r="D17" s="377"/>
      <c r="E17" s="361"/>
      <c r="F17" s="294" t="str">
        <f>"Номер подачи заявления об "&amp;IF(TITLE_DATE_PR_CHANGE="","утверждении","изменении")&amp;" тарифов"</f>
        <v>Номер подачи заявления об утверждении тарифов</v>
      </c>
      <c r="G17" s="2100" t="str">
        <f>IF(TITLE_NUMBER_PR_CHANGE="",IF(TITLE_NUMBER_PR="","",TITLE_NUMBER_PR),TITLE_NUMBER_PR_CHANGE)</f>
        <v>550</v>
      </c>
      <c r="H17" s="2100"/>
      <c r="I17" s="2100"/>
      <c r="J17" s="2100"/>
      <c r="K17" s="2100"/>
      <c r="L17" s="2100"/>
      <c r="M17" s="404"/>
      <c r="N17" s="322"/>
    </row>
    <row customHeight="1" ht="14.25">
      <c r="D18" s="377"/>
      <c r="E18" s="361"/>
      <c r="F18" s="395"/>
      <c r="G18" s="395"/>
      <c r="H18" s="395"/>
      <c r="I18" s="395"/>
      <c r="J18" s="395"/>
      <c r="K18" s="395"/>
      <c r="L18" s="758"/>
      <c r="M18" s="179"/>
    </row>
    <row customHeight="1" ht="21">
      <c r="D19" s="377"/>
      <c r="E19" s="2062" t="s">
        <v>291</v>
      </c>
      <c r="F19" s="2062"/>
      <c r="G19" s="2062"/>
      <c r="H19" s="2062"/>
      <c r="I19" s="2062"/>
      <c r="J19" s="2062"/>
      <c r="K19" s="2062"/>
      <c r="L19" s="2062"/>
      <c r="M19" s="2302" t="s">
        <v>292</v>
      </c>
    </row>
    <row customHeight="1" ht="21">
      <c r="D20" s="377"/>
      <c r="E20" s="2129" t="s">
        <v>87</v>
      </c>
      <c r="F20" s="2073" t="s">
        <v>121</v>
      </c>
      <c r="G20" s="2073" t="s">
        <v>122</v>
      </c>
      <c r="H20" s="2270" t="s">
        <v>1065</v>
      </c>
      <c r="I20" s="2274"/>
      <c r="J20" s="2271"/>
      <c r="K20" s="2073" t="s">
        <v>294</v>
      </c>
      <c r="L20" s="2073" t="s">
        <v>383</v>
      </c>
      <c r="M20" s="2302"/>
    </row>
    <row customHeight="1" ht="21">
      <c r="D21" s="377"/>
      <c r="E21" s="2131"/>
      <c r="F21" s="2074"/>
      <c r="G21" s="2074"/>
      <c r="H21" s="2068" t="s">
        <v>1066</v>
      </c>
      <c r="I21" s="2084"/>
      <c r="J21" s="94" t="s">
        <v>1067</v>
      </c>
      <c r="K21" s="2074"/>
      <c r="L21" s="2074"/>
      <c r="M21" s="2302"/>
    </row>
    <row customHeight="1" ht="12">
      <c r="D22" s="377"/>
      <c r="E22" s="269"/>
      <c r="F22" s="269"/>
      <c r="G22" s="269"/>
      <c r="H22" s="2307"/>
      <c r="I22" s="2307"/>
      <c r="J22" s="269"/>
      <c r="K22" s="269"/>
      <c r="L22" s="269"/>
      <c r="M22" s="269"/>
    </row>
    <row customHeight="1" ht="18.75">
      <c r="A23" s="1821"/>
      <c r="B23" s="1821"/>
      <c r="D23" s="377"/>
      <c r="E23" s="1909" t="s">
        <v>108</v>
      </c>
      <c r="F23" s="2308" t="str">
        <f>"Предлагаемый метод регулирования"&amp;IF(TEMPLATE_SPHERE="HEAT"," в сфере "&amp;TEMPLATE_SPHERE_RUS,"")</f>
        <v>Предлагаемый метод регулирования в сфере теплоснабжения</v>
      </c>
      <c r="G23" s="2309"/>
      <c r="H23" s="2304"/>
      <c r="I23" s="2304"/>
      <c r="J23" s="2304"/>
      <c r="K23" s="2309" t="s">
        <v>297</v>
      </c>
      <c r="L23" s="2304"/>
      <c r="M23" s="1810"/>
      <c r="N23" s="330"/>
    </row>
    <row customHeight="1" ht="60.75" hidden="1">
      <c r="A24" s="1821" t="s">
        <v>154</v>
      </c>
      <c r="B24" s="1821" t="s">
        <v>155</v>
      </c>
      <c r="D24" s="2306"/>
      <c r="E24" s="2056"/>
      <c r="F24" s="231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266" t="str">
        <f>INDEX(PT_DIFFERENTIATION_NTAR,MATCH(B24,PT_DIFFERENTIATION_NTAR_ID,0))</f>
        <v/>
      </c>
      <c r="H24" s="1905"/>
      <c r="I24" s="1779"/>
      <c r="J24" s="1814"/>
      <c r="K24" s="1908"/>
      <c r="L24" s="1809" t="s">
        <v>297</v>
      </c>
      <c r="M24"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0"/>
    </row>
    <row s="2950" customFormat="1" customHeight="1" ht="18.75" hidden="1">
      <c r="A25" s="1821"/>
      <c r="B25" s="1821"/>
      <c r="C25" s="369" t="s">
        <v>1062</v>
      </c>
      <c r="D25" s="2306"/>
      <c r="E25" s="2056"/>
      <c r="F25" s="2310"/>
      <c r="G25" s="2266"/>
      <c r="H25" s="1530"/>
      <c r="I25" s="657" t="s">
        <v>1063</v>
      </c>
      <c r="J25" s="577"/>
      <c r="K25" s="1530"/>
      <c r="L25" s="200"/>
      <c r="M25" s="2016"/>
      <c r="N25" s="330"/>
      <c r="O25" s="1664"/>
      <c r="P25" s="1664"/>
    </row>
    <row customHeight="1" ht="0.75" hidden="1">
      <c r="A26" s="1821"/>
      <c r="B26" s="1821"/>
      <c r="C26" s="369" t="s">
        <v>1068</v>
      </c>
      <c r="D26" s="2306"/>
      <c r="E26" s="2056"/>
      <c r="F26" s="2220"/>
      <c r="G26" s="406"/>
      <c r="H26" s="1530"/>
      <c r="I26" s="401"/>
      <c r="J26" s="345"/>
      <c r="K26" s="1530"/>
      <c r="L26" s="187"/>
      <c r="M26" s="2016"/>
      <c r="N26" s="330"/>
    </row>
    <row s="2950" customFormat="1" customHeight="1" ht="45" hidden="1">
      <c r="A27" s="1821" t="s">
        <v>162</v>
      </c>
      <c r="B27" s="1821" t="s">
        <v>163</v>
      </c>
      <c r="C27" s="369"/>
      <c r="D27" s="2311"/>
      <c r="E27" s="2312"/>
      <c r="F27" s="2313"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266" t="str">
        <f>INDEX(PT_DIFFERENTIATION_NTAR,MATCH(B27,PT_DIFFERENTIATION_NTAR_ID,0))</f>
        <v>Тариф на тепловую энергию</v>
      </c>
      <c r="H27" s="1905"/>
      <c r="I27" s="1779"/>
      <c r="J27" s="1814"/>
      <c r="K27" s="1908"/>
      <c r="L27" s="1905" t="s">
        <v>297</v>
      </c>
      <c r="M27" s="2016"/>
      <c r="N27" s="330"/>
      <c r="O27" s="1664"/>
      <c r="P27" s="1664"/>
    </row>
    <row s="2950" customFormat="1" customHeight="1" ht="18.75" hidden="1">
      <c r="A28" s="1821"/>
      <c r="B28" s="1821"/>
      <c r="C28" s="369" t="s">
        <v>1062</v>
      </c>
      <c r="D28" s="2311"/>
      <c r="E28" s="2312"/>
      <c r="F28" s="2313"/>
      <c r="G28" s="2266"/>
      <c r="H28" s="1530"/>
      <c r="I28" s="657" t="s">
        <v>1063</v>
      </c>
      <c r="J28" s="577"/>
      <c r="K28" s="1530"/>
      <c r="L28" s="200"/>
      <c r="M28" s="2016"/>
      <c r="N28" s="330"/>
      <c r="O28" s="1664"/>
      <c r="P28" s="1664"/>
    </row>
    <row s="2950" customFormat="1" customHeight="1" ht="0.75" hidden="1">
      <c r="A29" s="1821"/>
      <c r="B29" s="1821"/>
      <c r="C29" s="369" t="s">
        <v>1068</v>
      </c>
      <c r="D29" s="2311"/>
      <c r="E29" s="2056"/>
      <c r="F29" s="2220"/>
      <c r="G29" s="406"/>
      <c r="H29" s="1530"/>
      <c r="I29" s="657"/>
      <c r="J29" s="577"/>
      <c r="K29" s="1530"/>
      <c r="L29" s="200"/>
      <c r="M29" s="2016"/>
      <c r="N29" s="330"/>
      <c r="O29" s="1664"/>
      <c r="P29" s="1664"/>
    </row>
    <row s="2950" customFormat="1" customHeight="1" ht="45" hidden="1">
      <c r="A30" s="1821" t="s">
        <v>172</v>
      </c>
      <c r="B30" s="1821" t="s">
        <v>173</v>
      </c>
      <c r="C30" s="369"/>
      <c r="D30" s="2311"/>
      <c r="E30" s="2056"/>
      <c r="F30" s="2220"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266" t="str">
        <f>INDEX(PT_DIFFERENTIATION_NTAR,MATCH(B30,PT_DIFFERENTIATION_NTAR_ID,0))</f>
        <v/>
      </c>
      <c r="H30" s="1905"/>
      <c r="I30" s="1779"/>
      <c r="J30" s="1814"/>
      <c r="K30" s="1908"/>
      <c r="L30" s="1905" t="s">
        <v>297</v>
      </c>
      <c r="M30" s="2016"/>
      <c r="N30" s="330"/>
      <c r="O30" s="1664"/>
      <c r="P30" s="1664"/>
    </row>
    <row s="2950" customFormat="1" customHeight="1" ht="18.75" hidden="1">
      <c r="A31" s="1821"/>
      <c r="B31" s="1821"/>
      <c r="C31" s="369" t="s">
        <v>1062</v>
      </c>
      <c r="D31" s="2311"/>
      <c r="E31" s="2056"/>
      <c r="F31" s="2220"/>
      <c r="G31" s="2266"/>
      <c r="H31" s="1530"/>
      <c r="I31" s="657" t="s">
        <v>1063</v>
      </c>
      <c r="J31" s="577"/>
      <c r="K31" s="1530"/>
      <c r="L31" s="200"/>
      <c r="M31" s="2016"/>
      <c r="N31" s="330"/>
      <c r="O31" s="1664"/>
      <c r="P31" s="1664"/>
    </row>
    <row s="2950" customFormat="1" customHeight="1" ht="0.75" hidden="1">
      <c r="A32" s="1821"/>
      <c r="B32" s="1821"/>
      <c r="C32" s="369" t="s">
        <v>1068</v>
      </c>
      <c r="D32" s="2311"/>
      <c r="E32" s="2056"/>
      <c r="F32" s="2220"/>
      <c r="G32" s="406"/>
      <c r="H32" s="1530"/>
      <c r="I32" s="657"/>
      <c r="J32" s="577"/>
      <c r="K32" s="1530"/>
      <c r="L32" s="200"/>
      <c r="M32" s="2016"/>
      <c r="N32" s="330"/>
      <c r="O32" s="1664"/>
      <c r="P32" s="1664"/>
    </row>
    <row s="2950" customFormat="1" customHeight="1" ht="45" hidden="1">
      <c r="A33" s="1821" t="s">
        <v>178</v>
      </c>
      <c r="B33" s="1821" t="s">
        <v>179</v>
      </c>
      <c r="C33" s="369"/>
      <c r="D33" s="2311"/>
      <c r="E33" s="2056"/>
      <c r="F33" s="2220"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266" t="str">
        <f>INDEX(PT_DIFFERENTIATION_NTAR,MATCH(B33,PT_DIFFERENTIATION_NTAR_ID,0))</f>
        <v/>
      </c>
      <c r="H33" s="1905"/>
      <c r="I33" s="1779"/>
      <c r="J33" s="1814"/>
      <c r="K33" s="1908"/>
      <c r="L33" s="1905" t="s">
        <v>297</v>
      </c>
      <c r="M33" s="2016"/>
      <c r="N33" s="330"/>
      <c r="O33" s="1664"/>
      <c r="P33" s="1664"/>
    </row>
    <row s="2950" customFormat="1" customHeight="1" ht="18.75" hidden="1">
      <c r="A34" s="1821"/>
      <c r="B34" s="1821"/>
      <c r="C34" s="369" t="s">
        <v>1062</v>
      </c>
      <c r="D34" s="2311"/>
      <c r="E34" s="2056"/>
      <c r="F34" s="2220"/>
      <c r="G34" s="2266"/>
      <c r="H34" s="1530"/>
      <c r="I34" s="657" t="s">
        <v>1063</v>
      </c>
      <c r="J34" s="577"/>
      <c r="K34" s="1530"/>
      <c r="L34" s="200"/>
      <c r="M34" s="2016"/>
      <c r="N34" s="330"/>
      <c r="O34" s="1664"/>
      <c r="P34" s="1664"/>
    </row>
    <row s="2950" customFormat="1" customHeight="1" ht="0.75" hidden="1">
      <c r="A35" s="1821"/>
      <c r="B35" s="1821"/>
      <c r="C35" s="369" t="s">
        <v>1068</v>
      </c>
      <c r="D35" s="2311"/>
      <c r="E35" s="2056"/>
      <c r="F35" s="2220"/>
      <c r="G35" s="406"/>
      <c r="H35" s="1530"/>
      <c r="I35" s="657"/>
      <c r="J35" s="577"/>
      <c r="K35" s="1530"/>
      <c r="L35" s="200"/>
      <c r="M35" s="2016"/>
      <c r="N35" s="330"/>
      <c r="O35" s="1664"/>
      <c r="P35" s="1664"/>
    </row>
    <row s="2950" customFormat="1" customHeight="1" ht="18.75" hidden="1">
      <c r="A36" s="1821" t="s">
        <v>184</v>
      </c>
      <c r="B36" s="1821" t="s">
        <v>185</v>
      </c>
      <c r="C36" s="369"/>
      <c r="D36" s="2311"/>
      <c r="E36" s="2056"/>
      <c r="F36" s="2220" t="str">
        <f>INDEX(PT_DIFFERENTIATION_VTAR,MATCH(A36,PT_DIFFERENTIATION_VTAR_ID,0))</f>
        <v>Тарифы на услуги по передаче тепловой энергии</v>
      </c>
      <c r="G36" s="2266" t="str">
        <f>INDEX(PT_DIFFERENTIATION_NTAR,MATCH(B36,PT_DIFFERENTIATION_NTAR_ID,0))</f>
        <v/>
      </c>
      <c r="H36" s="1905"/>
      <c r="I36" s="1779"/>
      <c r="J36" s="1814"/>
      <c r="K36" s="1908"/>
      <c r="L36" s="1905" t="s">
        <v>297</v>
      </c>
      <c r="M36" s="2016"/>
      <c r="N36" s="330"/>
      <c r="O36" s="1664"/>
      <c r="P36" s="1664"/>
    </row>
    <row s="2950" customFormat="1" customHeight="1" ht="18.75" hidden="1">
      <c r="A37" s="1821"/>
      <c r="B37" s="1821"/>
      <c r="C37" s="369" t="s">
        <v>1062</v>
      </c>
      <c r="D37" s="2311"/>
      <c r="E37" s="2056"/>
      <c r="F37" s="2220"/>
      <c r="G37" s="2266"/>
      <c r="H37" s="1530"/>
      <c r="I37" s="657" t="s">
        <v>1063</v>
      </c>
      <c r="J37" s="577"/>
      <c r="K37" s="1530"/>
      <c r="L37" s="200"/>
      <c r="M37" s="2016"/>
      <c r="N37" s="330"/>
      <c r="O37" s="1664"/>
      <c r="P37" s="1664"/>
    </row>
    <row s="2950" customFormat="1" customHeight="1" ht="0.75" hidden="1">
      <c r="A38" s="1821"/>
      <c r="B38" s="1821"/>
      <c r="C38" s="369" t="s">
        <v>1068</v>
      </c>
      <c r="D38" s="2311"/>
      <c r="E38" s="2056"/>
      <c r="F38" s="2220"/>
      <c r="G38" s="406"/>
      <c r="H38" s="1530"/>
      <c r="I38" s="657"/>
      <c r="J38" s="577"/>
      <c r="K38" s="1530"/>
      <c r="L38" s="200"/>
      <c r="M38" s="2016"/>
      <c r="N38" s="330"/>
      <c r="O38" s="1664"/>
      <c r="P38" s="1664"/>
    </row>
    <row s="2950" customFormat="1" customHeight="1" ht="18.75" hidden="1">
      <c r="A39" s="1821" t="s">
        <v>190</v>
      </c>
      <c r="B39" s="1821" t="s">
        <v>191</v>
      </c>
      <c r="C39" s="369"/>
      <c r="D39" s="2311"/>
      <c r="E39" s="2056"/>
      <c r="F39" s="2220" t="str">
        <f>INDEX(PT_DIFFERENTIATION_VTAR,MATCH(A39,PT_DIFFERENTIATION_VTAR_ID,0))</f>
        <v>Тарифы на услуги по передаче теплоносителя</v>
      </c>
      <c r="G39" s="2266" t="str">
        <f>INDEX(PT_DIFFERENTIATION_NTAR,MATCH(B39,PT_DIFFERENTIATION_NTAR_ID,0))</f>
        <v/>
      </c>
      <c r="H39" s="1905"/>
      <c r="I39" s="1779"/>
      <c r="J39" s="1814"/>
      <c r="K39" s="1908"/>
      <c r="L39" s="1905" t="s">
        <v>297</v>
      </c>
      <c r="M39" s="2016"/>
      <c r="N39" s="330"/>
      <c r="O39" s="1664"/>
      <c r="P39" s="1664"/>
    </row>
    <row s="2950" customFormat="1" customHeight="1" ht="18.75" hidden="1">
      <c r="A40" s="1821"/>
      <c r="B40" s="1821"/>
      <c r="C40" s="369" t="s">
        <v>1062</v>
      </c>
      <c r="D40" s="2311"/>
      <c r="E40" s="2056"/>
      <c r="F40" s="2220"/>
      <c r="G40" s="2266"/>
      <c r="H40" s="1530"/>
      <c r="I40" s="657" t="s">
        <v>1063</v>
      </c>
      <c r="J40" s="577"/>
      <c r="K40" s="1530"/>
      <c r="L40" s="200"/>
      <c r="M40" s="2016"/>
      <c r="N40" s="330"/>
      <c r="O40" s="1664"/>
      <c r="P40" s="1664"/>
    </row>
    <row s="2950" customFormat="1" customHeight="1" ht="0.75" hidden="1">
      <c r="A41" s="1821"/>
      <c r="B41" s="1821"/>
      <c r="C41" s="369" t="s">
        <v>1068</v>
      </c>
      <c r="D41" s="2311"/>
      <c r="E41" s="2056"/>
      <c r="F41" s="2220"/>
      <c r="G41" s="406"/>
      <c r="H41" s="1530"/>
      <c r="I41" s="657"/>
      <c r="J41" s="577"/>
      <c r="K41" s="1530"/>
      <c r="L41" s="200"/>
      <c r="M41" s="2016"/>
      <c r="N41" s="330"/>
      <c r="O41" s="1664"/>
      <c r="P41" s="1664"/>
    </row>
    <row s="2950" customFormat="1" customHeight="1" ht="18.75" hidden="1">
      <c r="A42" s="1821" t="s">
        <v>196</v>
      </c>
      <c r="B42" s="1821" t="s">
        <v>197</v>
      </c>
      <c r="C42" s="369"/>
      <c r="D42" s="2311"/>
      <c r="E42" s="2056"/>
      <c r="F42" s="2220" t="str">
        <f>INDEX(PT_DIFFERENTIATION_VTAR,MATCH(A42,PT_DIFFERENTIATION_VTAR_ID,0))</f>
        <v>Плата за услуги по поддержанию резервной тепловой мощности при отсутствии потребления тепловой энергии</v>
      </c>
      <c r="G42" s="2266" t="str">
        <f>INDEX(PT_DIFFERENTIATION_NTAR,MATCH(B42,PT_DIFFERENTIATION_NTAR_ID,0))</f>
        <v/>
      </c>
      <c r="H42" s="1905"/>
      <c r="I42" s="1779"/>
      <c r="J42" s="1814"/>
      <c r="K42" s="1908"/>
      <c r="L42" s="1905" t="s">
        <v>297</v>
      </c>
      <c r="M42" s="2016"/>
      <c r="N42" s="330"/>
      <c r="O42" s="1664"/>
      <c r="P42" s="1664"/>
    </row>
    <row s="2950" customFormat="1" customHeight="1" ht="18.75" hidden="1">
      <c r="A43" s="1821"/>
      <c r="B43" s="1821"/>
      <c r="C43" s="369" t="s">
        <v>1062</v>
      </c>
      <c r="D43" s="2311"/>
      <c r="E43" s="2056"/>
      <c r="F43" s="2220"/>
      <c r="G43" s="2266"/>
      <c r="H43" s="1530"/>
      <c r="I43" s="657" t="s">
        <v>1063</v>
      </c>
      <c r="J43" s="577"/>
      <c r="K43" s="1530"/>
      <c r="L43" s="200"/>
      <c r="M43" s="2016"/>
      <c r="N43" s="330"/>
      <c r="O43" s="1664"/>
      <c r="P43" s="1664"/>
    </row>
    <row s="2950" customFormat="1" customHeight="1" ht="0.75" hidden="1">
      <c r="A44" s="1821"/>
      <c r="B44" s="1821"/>
      <c r="C44" s="369" t="s">
        <v>1068</v>
      </c>
      <c r="D44" s="2311"/>
      <c r="E44" s="2056"/>
      <c r="F44" s="2220"/>
      <c r="G44" s="406"/>
      <c r="H44" s="1530"/>
      <c r="I44" s="657"/>
      <c r="J44" s="577"/>
      <c r="K44" s="1530"/>
      <c r="L44" s="200"/>
      <c r="M44" s="2016"/>
      <c r="N44" s="330"/>
      <c r="O44" s="1664"/>
      <c r="P44" s="1664"/>
    </row>
    <row s="2950" customFormat="1" customHeight="1" ht="18.75" hidden="1">
      <c r="A45" s="1821" t="s">
        <v>202</v>
      </c>
      <c r="B45" s="1821" t="s">
        <v>203</v>
      </c>
      <c r="C45" s="369"/>
      <c r="D45" s="2311"/>
      <c r="E45" s="2056"/>
      <c r="F45" s="2220" t="str">
        <f>INDEX(PT_DIFFERENTIATION_VTAR,MATCH(A45,PT_DIFFERENTIATION_VTAR_ID,0))</f>
        <v>Плата за подключение (технологическое присоединение) к системе теплоснабжения</v>
      </c>
      <c r="G45" s="2266" t="str">
        <f>INDEX(PT_DIFFERENTIATION_NTAR,MATCH(B45,PT_DIFFERENTIATION_NTAR_ID,0))</f>
        <v/>
      </c>
      <c r="H45" s="1905"/>
      <c r="I45" s="1779"/>
      <c r="J45" s="1814"/>
      <c r="K45" s="1908"/>
      <c r="L45" s="1905" t="s">
        <v>297</v>
      </c>
      <c r="M45" s="2016"/>
      <c r="N45" s="330"/>
      <c r="O45" s="1664"/>
      <c r="P45" s="1664"/>
    </row>
    <row s="2950" customFormat="1" customHeight="1" ht="18.75" hidden="1">
      <c r="A46" s="1821"/>
      <c r="B46" s="1821"/>
      <c r="C46" s="369" t="s">
        <v>1062</v>
      </c>
      <c r="D46" s="2311"/>
      <c r="E46" s="2056"/>
      <c r="F46" s="2220"/>
      <c r="G46" s="2266"/>
      <c r="H46" s="1530"/>
      <c r="I46" s="657" t="s">
        <v>1063</v>
      </c>
      <c r="J46" s="577"/>
      <c r="K46" s="1530"/>
      <c r="L46" s="200"/>
      <c r="M46" s="2016"/>
      <c r="N46" s="330"/>
      <c r="O46" s="1664"/>
      <c r="P46" s="1664"/>
    </row>
    <row s="2950" customFormat="1" customHeight="1" ht="0.75" hidden="1">
      <c r="A47" s="1821"/>
      <c r="B47" s="1821"/>
      <c r="C47" s="369" t="s">
        <v>1068</v>
      </c>
      <c r="D47" s="2311"/>
      <c r="E47" s="2056"/>
      <c r="F47" s="2220"/>
      <c r="G47" s="406"/>
      <c r="H47" s="1530"/>
      <c r="I47" s="657"/>
      <c r="J47" s="577"/>
      <c r="K47" s="1530"/>
      <c r="L47" s="200"/>
      <c r="M47" s="2016"/>
      <c r="N47" s="330"/>
      <c r="O47" s="1664"/>
      <c r="P47" s="1664"/>
    </row>
    <row s="2950" customFormat="1" customHeight="1" ht="18.75" hidden="1">
      <c r="A48" s="1821" t="s">
        <v>216</v>
      </c>
      <c r="B48" s="1821" t="s">
        <v>217</v>
      </c>
      <c r="C48" s="369"/>
      <c r="D48" s="2311"/>
      <c r="E48" s="2056"/>
      <c r="F48" s="2220" t="str">
        <f>INDEX(PT_DIFFERENTIATION_VTAR,MATCH(A48,PT_DIFFERENTIATION_VTAR_ID,0))</f>
        <v>Тариф на питьевую воду (питьевое водоснабжение)</v>
      </c>
      <c r="G48" s="2266" t="str">
        <f>INDEX(PT_DIFFERENTIATION_NTAR,MATCH(B48,PT_DIFFERENTIATION_NTAR_ID,0))</f>
        <v/>
      </c>
      <c r="H48" s="1905"/>
      <c r="I48" s="1779"/>
      <c r="J48" s="1814"/>
      <c r="K48" s="1908"/>
      <c r="L48" s="1905" t="s">
        <v>297</v>
      </c>
      <c r="M48" s="2016"/>
      <c r="N48" s="330"/>
      <c r="O48" s="1664"/>
      <c r="P48" s="1664"/>
    </row>
    <row s="2950" customFormat="1" customHeight="1" ht="18.75" hidden="1">
      <c r="A49" s="1821"/>
      <c r="B49" s="1821"/>
      <c r="C49" s="369" t="s">
        <v>1062</v>
      </c>
      <c r="D49" s="2311"/>
      <c r="E49" s="2056"/>
      <c r="F49" s="2220"/>
      <c r="G49" s="2266"/>
      <c r="H49" s="1530"/>
      <c r="I49" s="657" t="s">
        <v>1063</v>
      </c>
      <c r="J49" s="577"/>
      <c r="K49" s="1530"/>
      <c r="L49" s="200"/>
      <c r="M49" s="2016"/>
      <c r="N49" s="330"/>
      <c r="O49" s="1664"/>
      <c r="P49" s="1664"/>
    </row>
    <row s="2950" customFormat="1" customHeight="1" ht="0.75" hidden="1">
      <c r="A50" s="1821"/>
      <c r="B50" s="1821"/>
      <c r="C50" s="369" t="s">
        <v>1068</v>
      </c>
      <c r="D50" s="2311"/>
      <c r="E50" s="2056"/>
      <c r="F50" s="2220"/>
      <c r="G50" s="406"/>
      <c r="H50" s="1530"/>
      <c r="I50" s="657"/>
      <c r="J50" s="577"/>
      <c r="K50" s="1530"/>
      <c r="L50" s="200"/>
      <c r="M50" s="2016"/>
      <c r="N50" s="330"/>
      <c r="O50" s="1664"/>
      <c r="P50" s="1664"/>
    </row>
    <row s="2950" customFormat="1" customHeight="1" ht="18.75" hidden="1">
      <c r="A51" s="1821" t="s">
        <v>221</v>
      </c>
      <c r="B51" s="1821" t="s">
        <v>222</v>
      </c>
      <c r="C51" s="369"/>
      <c r="D51" s="2311"/>
      <c r="E51" s="2056"/>
      <c r="F51" s="2220" t="str">
        <f>INDEX(PT_DIFFERENTIATION_VTAR,MATCH(A51,PT_DIFFERENTIATION_VTAR_ID,0))</f>
        <v>Тариф на техническую воду</v>
      </c>
      <c r="G51" s="2266" t="str">
        <f>INDEX(PT_DIFFERENTIATION_NTAR,MATCH(B51,PT_DIFFERENTIATION_NTAR_ID,0))</f>
        <v/>
      </c>
      <c r="H51" s="1905"/>
      <c r="I51" s="1779"/>
      <c r="J51" s="1814"/>
      <c r="K51" s="1908"/>
      <c r="L51" s="1905" t="s">
        <v>297</v>
      </c>
      <c r="M51" s="2016"/>
      <c r="N51" s="330"/>
      <c r="O51" s="1664"/>
      <c r="P51" s="1664"/>
    </row>
    <row s="2950" customFormat="1" customHeight="1" ht="18.75" hidden="1">
      <c r="A52" s="1821"/>
      <c r="B52" s="1821"/>
      <c r="C52" s="369" t="s">
        <v>1062</v>
      </c>
      <c r="D52" s="2311"/>
      <c r="E52" s="2056"/>
      <c r="F52" s="2220"/>
      <c r="G52" s="2266"/>
      <c r="H52" s="1530"/>
      <c r="I52" s="657" t="s">
        <v>1063</v>
      </c>
      <c r="J52" s="577"/>
      <c r="K52" s="1530"/>
      <c r="L52" s="200"/>
      <c r="M52" s="2016"/>
      <c r="N52" s="330"/>
      <c r="O52" s="1664"/>
      <c r="P52" s="1664"/>
    </row>
    <row s="2950" customFormat="1" customHeight="1" ht="0.75" hidden="1">
      <c r="A53" s="1821"/>
      <c r="B53" s="1821"/>
      <c r="C53" s="369" t="s">
        <v>1068</v>
      </c>
      <c r="D53" s="2311"/>
      <c r="E53" s="2056"/>
      <c r="F53" s="2220"/>
      <c r="G53" s="406"/>
      <c r="H53" s="1530"/>
      <c r="I53" s="657"/>
      <c r="J53" s="577"/>
      <c r="K53" s="1530"/>
      <c r="L53" s="200"/>
      <c r="M53" s="2016"/>
      <c r="N53" s="330"/>
      <c r="O53" s="1664"/>
      <c r="P53" s="1664"/>
    </row>
    <row s="2950" customFormat="1" customHeight="1" ht="18.75" hidden="1">
      <c r="A54" s="1821" t="s">
        <v>226</v>
      </c>
      <c r="B54" s="1821" t="s">
        <v>227</v>
      </c>
      <c r="C54" s="369"/>
      <c r="D54" s="2311"/>
      <c r="E54" s="2056"/>
      <c r="F54" s="2220" t="str">
        <f>INDEX(PT_DIFFERENTIATION_VTAR,MATCH(A54,PT_DIFFERENTIATION_VTAR_ID,0))</f>
        <v>Тариф на транспортировку воды</v>
      </c>
      <c r="G54" s="2266" t="str">
        <f>INDEX(PT_DIFFERENTIATION_NTAR,MATCH(B54,PT_DIFFERENTIATION_NTAR_ID,0))</f>
        <v/>
      </c>
      <c r="H54" s="1905"/>
      <c r="I54" s="1779"/>
      <c r="J54" s="1814"/>
      <c r="K54" s="1908"/>
      <c r="L54" s="1905" t="s">
        <v>297</v>
      </c>
      <c r="M54" s="2016"/>
      <c r="N54" s="330"/>
      <c r="O54" s="1664"/>
      <c r="P54" s="1664"/>
    </row>
    <row s="2950" customFormat="1" customHeight="1" ht="18.75" hidden="1">
      <c r="A55" s="1821"/>
      <c r="B55" s="1821"/>
      <c r="C55" s="369" t="s">
        <v>1062</v>
      </c>
      <c r="D55" s="2311"/>
      <c r="E55" s="2056"/>
      <c r="F55" s="2220"/>
      <c r="G55" s="2266"/>
      <c r="H55" s="1530"/>
      <c r="I55" s="657" t="s">
        <v>1063</v>
      </c>
      <c r="J55" s="577"/>
      <c r="K55" s="1530"/>
      <c r="L55" s="200"/>
      <c r="M55" s="2016"/>
      <c r="N55" s="330"/>
      <c r="O55" s="1664"/>
      <c r="P55" s="1664"/>
    </row>
    <row s="2950" customFormat="1" customHeight="1" ht="0.75" hidden="1">
      <c r="A56" s="1821"/>
      <c r="B56" s="1821"/>
      <c r="C56" s="369" t="s">
        <v>1068</v>
      </c>
      <c r="D56" s="2311"/>
      <c r="E56" s="2056"/>
      <c r="F56" s="2220"/>
      <c r="G56" s="406"/>
      <c r="H56" s="1530"/>
      <c r="I56" s="657"/>
      <c r="J56" s="577"/>
      <c r="K56" s="1530"/>
      <c r="L56" s="200"/>
      <c r="M56" s="2016"/>
      <c r="N56" s="330"/>
      <c r="O56" s="1664"/>
      <c r="P56" s="1664"/>
    </row>
    <row s="2950" customFormat="1" customHeight="1" ht="18.75" hidden="1">
      <c r="A57" s="1821" t="s">
        <v>231</v>
      </c>
      <c r="B57" s="1821" t="s">
        <v>232</v>
      </c>
      <c r="C57" s="369"/>
      <c r="D57" s="2311"/>
      <c r="E57" s="2056"/>
      <c r="F57" s="2220" t="str">
        <f>INDEX(PT_DIFFERENTIATION_VTAR,MATCH(A57,PT_DIFFERENTIATION_VTAR_ID,0))</f>
        <v>Тариф на подвоз воды</v>
      </c>
      <c r="G57" s="2266" t="str">
        <f>INDEX(PT_DIFFERENTIATION_NTAR,MATCH(B57,PT_DIFFERENTIATION_NTAR_ID,0))</f>
        <v/>
      </c>
      <c r="H57" s="1905"/>
      <c r="I57" s="1779"/>
      <c r="J57" s="1814"/>
      <c r="K57" s="1908"/>
      <c r="L57" s="1905" t="s">
        <v>297</v>
      </c>
      <c r="M57" s="2016"/>
      <c r="N57" s="330"/>
      <c r="O57" s="1664"/>
      <c r="P57" s="1664"/>
    </row>
    <row s="2950" customFormat="1" customHeight="1" ht="18.75" hidden="1">
      <c r="A58" s="1821"/>
      <c r="B58" s="1821"/>
      <c r="C58" s="369" t="s">
        <v>1062</v>
      </c>
      <c r="D58" s="2311"/>
      <c r="E58" s="2056"/>
      <c r="F58" s="2220"/>
      <c r="G58" s="2266"/>
      <c r="H58" s="1530"/>
      <c r="I58" s="657" t="s">
        <v>1063</v>
      </c>
      <c r="J58" s="577"/>
      <c r="K58" s="1530"/>
      <c r="L58" s="200"/>
      <c r="M58" s="2016"/>
      <c r="N58" s="330"/>
      <c r="O58" s="1664"/>
      <c r="P58" s="1664"/>
    </row>
    <row s="2950" customFormat="1" customHeight="1" ht="0.75" hidden="1">
      <c r="A59" s="1821"/>
      <c r="B59" s="1821"/>
      <c r="C59" s="369" t="s">
        <v>1068</v>
      </c>
      <c r="D59" s="2311"/>
      <c r="E59" s="2056"/>
      <c r="F59" s="2220"/>
      <c r="G59" s="406"/>
      <c r="H59" s="1530"/>
      <c r="I59" s="657"/>
      <c r="J59" s="577"/>
      <c r="K59" s="1530"/>
      <c r="L59" s="200"/>
      <c r="M59" s="2016"/>
      <c r="N59" s="330"/>
      <c r="O59" s="1664"/>
      <c r="P59" s="1664"/>
    </row>
    <row s="2950" customFormat="1" customHeight="1" ht="18.75" hidden="1">
      <c r="A60" s="1821" t="s">
        <v>236</v>
      </c>
      <c r="B60" s="1821" t="s">
        <v>237</v>
      </c>
      <c r="C60" s="369"/>
      <c r="D60" s="2311"/>
      <c r="E60" s="2056"/>
      <c r="F60" s="2220" t="str">
        <f>INDEX(PT_DIFFERENTIATION_VTAR,MATCH(A60,PT_DIFFERENTIATION_VTAR_ID,0))</f>
        <v>Тариф на подключение (технологическое присоединение) к централизованной системе холодного водоснабжения</v>
      </c>
      <c r="G60" s="2266" t="str">
        <f>INDEX(PT_DIFFERENTIATION_NTAR,MATCH(B60,PT_DIFFERENTIATION_NTAR_ID,0))</f>
        <v/>
      </c>
      <c r="H60" s="1905"/>
      <c r="I60" s="1779"/>
      <c r="J60" s="1814"/>
      <c r="K60" s="1908"/>
      <c r="L60" s="1905" t="s">
        <v>297</v>
      </c>
      <c r="M60" s="2016"/>
      <c r="N60" s="330"/>
      <c r="O60" s="1664"/>
      <c r="P60" s="1664"/>
    </row>
    <row s="2950" customFormat="1" customHeight="1" ht="18.75" hidden="1">
      <c r="A61" s="1821"/>
      <c r="B61" s="1821"/>
      <c r="C61" s="369" t="s">
        <v>1062</v>
      </c>
      <c r="D61" s="2311"/>
      <c r="E61" s="2056"/>
      <c r="F61" s="2220"/>
      <c r="G61" s="2266"/>
      <c r="H61" s="1530"/>
      <c r="I61" s="657" t="s">
        <v>1063</v>
      </c>
      <c r="J61" s="577"/>
      <c r="K61" s="1530"/>
      <c r="L61" s="200"/>
      <c r="M61" s="2016"/>
      <c r="N61" s="330"/>
      <c r="O61" s="1664"/>
      <c r="P61" s="1664"/>
    </row>
    <row s="2950" customFormat="1" customHeight="1" ht="0.75" hidden="1">
      <c r="A62" s="1821"/>
      <c r="B62" s="1821"/>
      <c r="C62" s="369" t="s">
        <v>1068</v>
      </c>
      <c r="D62" s="2311"/>
      <c r="E62" s="2056"/>
      <c r="F62" s="2220"/>
      <c r="G62" s="406"/>
      <c r="H62" s="1530"/>
      <c r="I62" s="657"/>
      <c r="J62" s="577"/>
      <c r="K62" s="1530"/>
      <c r="L62" s="200"/>
      <c r="M62" s="2016"/>
      <c r="N62" s="330"/>
      <c r="O62" s="1664"/>
      <c r="P62" s="1664"/>
    </row>
    <row s="2950" customFormat="1" customHeight="1" ht="18.75" hidden="1">
      <c r="A63" s="1821" t="s">
        <v>241</v>
      </c>
      <c r="B63" s="1821" t="s">
        <v>242</v>
      </c>
      <c r="C63" s="369"/>
      <c r="D63" s="2311"/>
      <c r="E63" s="2056"/>
      <c r="F63" s="2220" t="str">
        <f>INDEX(PT_DIFFERENTIATION_VTAR,MATCH(A63,PT_DIFFERENTIATION_VTAR_ID,0))</f>
        <v>Тариф на горячую воду (горячее водоснабжение)</v>
      </c>
      <c r="G63" s="2266" t="str">
        <f>INDEX(PT_DIFFERENTIATION_NTAR,MATCH(B63,PT_DIFFERENTIATION_NTAR_ID,0))</f>
        <v/>
      </c>
      <c r="H63" s="1905"/>
      <c r="I63" s="1779"/>
      <c r="J63" s="1814"/>
      <c r="K63" s="1908"/>
      <c r="L63" s="1905" t="s">
        <v>297</v>
      </c>
      <c r="M63" s="2016"/>
      <c r="N63" s="330"/>
      <c r="O63" s="1664"/>
      <c r="P63" s="1664"/>
    </row>
    <row s="2950" customFormat="1" customHeight="1" ht="18.75" hidden="1">
      <c r="A64" s="1821"/>
      <c r="B64" s="1821"/>
      <c r="C64" s="369" t="s">
        <v>1062</v>
      </c>
      <c r="D64" s="2311"/>
      <c r="E64" s="2056"/>
      <c r="F64" s="2220"/>
      <c r="G64" s="2266"/>
      <c r="H64" s="1530"/>
      <c r="I64" s="657" t="s">
        <v>1063</v>
      </c>
      <c r="J64" s="577"/>
      <c r="K64" s="1530"/>
      <c r="L64" s="200"/>
      <c r="M64" s="2016"/>
      <c r="N64" s="330"/>
      <c r="O64" s="1664"/>
      <c r="P64" s="1664"/>
    </row>
    <row s="2950" customFormat="1" customHeight="1" ht="0.75" hidden="1">
      <c r="A65" s="1821"/>
      <c r="B65" s="1821"/>
      <c r="C65" s="369" t="s">
        <v>1068</v>
      </c>
      <c r="D65" s="2311"/>
      <c r="E65" s="2056"/>
      <c r="F65" s="2220"/>
      <c r="G65" s="406"/>
      <c r="H65" s="1530"/>
      <c r="I65" s="657"/>
      <c r="J65" s="577"/>
      <c r="K65" s="1530"/>
      <c r="L65" s="200"/>
      <c r="M65" s="2016"/>
      <c r="N65" s="330"/>
      <c r="O65" s="1664"/>
      <c r="P65" s="1664"/>
    </row>
    <row s="2950" customFormat="1" customHeight="1" ht="18.75" hidden="1">
      <c r="A66" s="1821" t="s">
        <v>246</v>
      </c>
      <c r="B66" s="1821" t="s">
        <v>247</v>
      </c>
      <c r="C66" s="369"/>
      <c r="D66" s="2311"/>
      <c r="E66" s="2056"/>
      <c r="F66" s="2220" t="str">
        <f>INDEX(PT_DIFFERENTIATION_VTAR,MATCH(A66,PT_DIFFERENTIATION_VTAR_ID,0))</f>
        <v>Тариф на транспортировку горячей воды</v>
      </c>
      <c r="G66" s="2266" t="str">
        <f>INDEX(PT_DIFFERENTIATION_NTAR,MATCH(B66,PT_DIFFERENTIATION_NTAR_ID,0))</f>
        <v/>
      </c>
      <c r="H66" s="1905"/>
      <c r="I66" s="1779"/>
      <c r="J66" s="1814"/>
      <c r="K66" s="1908"/>
      <c r="L66" s="1905" t="s">
        <v>297</v>
      </c>
      <c r="M66" s="2016"/>
      <c r="N66" s="330"/>
      <c r="O66" s="1664"/>
      <c r="P66" s="1664"/>
    </row>
    <row s="2950" customFormat="1" customHeight="1" ht="18.75" hidden="1">
      <c r="A67" s="1821"/>
      <c r="B67" s="1821"/>
      <c r="C67" s="369" t="s">
        <v>1062</v>
      </c>
      <c r="D67" s="2311"/>
      <c r="E67" s="2056"/>
      <c r="F67" s="2220"/>
      <c r="G67" s="2266"/>
      <c r="H67" s="1530"/>
      <c r="I67" s="657" t="s">
        <v>1063</v>
      </c>
      <c r="J67" s="577"/>
      <c r="K67" s="1530"/>
      <c r="L67" s="200"/>
      <c r="M67" s="2016"/>
      <c r="N67" s="330"/>
      <c r="O67" s="1664"/>
      <c r="P67" s="1664"/>
    </row>
    <row s="2950" customFormat="1" customHeight="1" ht="0.75" hidden="1">
      <c r="A68" s="1821"/>
      <c r="B68" s="1821"/>
      <c r="C68" s="369" t="s">
        <v>1068</v>
      </c>
      <c r="D68" s="2311"/>
      <c r="E68" s="2056"/>
      <c r="F68" s="2220"/>
      <c r="G68" s="406"/>
      <c r="H68" s="1530"/>
      <c r="I68" s="657"/>
      <c r="J68" s="577"/>
      <c r="K68" s="1530"/>
      <c r="L68" s="200"/>
      <c r="M68" s="2016"/>
      <c r="N68" s="330"/>
      <c r="O68" s="1664"/>
      <c r="P68" s="1664"/>
    </row>
    <row s="2950" customFormat="1" customHeight="1" ht="18.75" hidden="1">
      <c r="A69" s="1821" t="s">
        <v>251</v>
      </c>
      <c r="B69" s="1821" t="s">
        <v>252</v>
      </c>
      <c r="C69" s="369"/>
      <c r="D69" s="2311"/>
      <c r="E69" s="2056"/>
      <c r="F69" s="2220" t="str">
        <f>INDEX(PT_DIFFERENTIATION_VTAR,MATCH(A69,PT_DIFFERENTIATION_VTAR_ID,0))</f>
        <v>Тариф на подключение (технологическое присоединение) к централизованной системе горячего водоснабжения</v>
      </c>
      <c r="G69" s="2266" t="str">
        <f>INDEX(PT_DIFFERENTIATION_NTAR,MATCH(B69,PT_DIFFERENTIATION_NTAR_ID,0))</f>
        <v/>
      </c>
      <c r="H69" s="1905"/>
      <c r="I69" s="1779"/>
      <c r="J69" s="1814"/>
      <c r="K69" s="1908"/>
      <c r="L69" s="1905" t="s">
        <v>297</v>
      </c>
      <c r="M69" s="2016"/>
      <c r="N69" s="330"/>
      <c r="O69" s="1664"/>
      <c r="P69" s="1664"/>
    </row>
    <row s="2950" customFormat="1" customHeight="1" ht="18.75" hidden="1">
      <c r="A70" s="1821"/>
      <c r="B70" s="1821"/>
      <c r="C70" s="369" t="s">
        <v>1062</v>
      </c>
      <c r="D70" s="2311"/>
      <c r="E70" s="2056"/>
      <c r="F70" s="2220"/>
      <c r="G70" s="2266"/>
      <c r="H70" s="1530"/>
      <c r="I70" s="657" t="s">
        <v>1063</v>
      </c>
      <c r="J70" s="577"/>
      <c r="K70" s="1530"/>
      <c r="L70" s="200"/>
      <c r="M70" s="2016"/>
      <c r="N70" s="330"/>
      <c r="O70" s="1664"/>
      <c r="P70" s="1664"/>
    </row>
    <row s="2950" customFormat="1" customHeight="1" ht="0.75" hidden="1">
      <c r="A71" s="1821"/>
      <c r="B71" s="1821"/>
      <c r="C71" s="369" t="s">
        <v>1068</v>
      </c>
      <c r="D71" s="2311"/>
      <c r="E71" s="2056"/>
      <c r="F71" s="2220"/>
      <c r="G71" s="406"/>
      <c r="H71" s="1530"/>
      <c r="I71" s="657"/>
      <c r="J71" s="577"/>
      <c r="K71" s="1530"/>
      <c r="L71" s="200"/>
      <c r="M71" s="2016"/>
      <c r="N71" s="330"/>
      <c r="O71" s="1664"/>
      <c r="P71" s="1664"/>
    </row>
    <row s="2950" customFormat="1" customHeight="1" ht="18.75" hidden="1">
      <c r="A72" s="1821" t="s">
        <v>256</v>
      </c>
      <c r="B72" s="1821" t="s">
        <v>257</v>
      </c>
      <c r="C72" s="369"/>
      <c r="D72" s="2311"/>
      <c r="E72" s="2056"/>
      <c r="F72" s="2220" t="str">
        <f>INDEX(PT_DIFFERENTIATION_VTAR,MATCH(A72,PT_DIFFERENTIATION_VTAR_ID,0))</f>
        <v>Тариф на водоотведение</v>
      </c>
      <c r="G72" s="2266" t="str">
        <f>INDEX(PT_DIFFERENTIATION_NTAR,MATCH(B72,PT_DIFFERENTIATION_NTAR_ID,0))</f>
        <v/>
      </c>
      <c r="H72" s="1905"/>
      <c r="I72" s="1779"/>
      <c r="J72" s="1814"/>
      <c r="K72" s="1908"/>
      <c r="L72" s="1905" t="s">
        <v>297</v>
      </c>
      <c r="M72" s="2016"/>
      <c r="N72" s="330"/>
      <c r="O72" s="1664"/>
      <c r="P72" s="1664"/>
    </row>
    <row s="2950" customFormat="1" customHeight="1" ht="18.75" hidden="1">
      <c r="A73" s="1821"/>
      <c r="B73" s="1821"/>
      <c r="C73" s="369" t="s">
        <v>1062</v>
      </c>
      <c r="D73" s="2311"/>
      <c r="E73" s="2056"/>
      <c r="F73" s="2220"/>
      <c r="G73" s="2266"/>
      <c r="H73" s="1530"/>
      <c r="I73" s="657" t="s">
        <v>1063</v>
      </c>
      <c r="J73" s="577"/>
      <c r="K73" s="1530"/>
      <c r="L73" s="200"/>
      <c r="M73" s="2016"/>
      <c r="N73" s="330"/>
      <c r="O73" s="1664"/>
      <c r="P73" s="1664"/>
    </row>
    <row s="2950" customFormat="1" customHeight="1" ht="0.75" hidden="1">
      <c r="A74" s="1821"/>
      <c r="B74" s="1821"/>
      <c r="C74" s="369" t="s">
        <v>1068</v>
      </c>
      <c r="D74" s="2311"/>
      <c r="E74" s="2056"/>
      <c r="F74" s="2220"/>
      <c r="G74" s="406"/>
      <c r="H74" s="1530"/>
      <c r="I74" s="657"/>
      <c r="J74" s="577"/>
      <c r="K74" s="1530"/>
      <c r="L74" s="200"/>
      <c r="M74" s="2016"/>
      <c r="N74" s="330"/>
      <c r="O74" s="1664"/>
      <c r="P74" s="1664"/>
    </row>
    <row s="2950" customFormat="1" customHeight="1" ht="18.75" hidden="1">
      <c r="A75" s="1821" t="s">
        <v>261</v>
      </c>
      <c r="B75" s="1821" t="s">
        <v>262</v>
      </c>
      <c r="C75" s="369"/>
      <c r="D75" s="2311"/>
      <c r="E75" s="2056"/>
      <c r="F75" s="2220" t="str">
        <f>INDEX(PT_DIFFERENTIATION_VTAR,MATCH(A75,PT_DIFFERENTIATION_VTAR_ID,0))</f>
        <v>Тариф на транспортировку сточных вод</v>
      </c>
      <c r="G75" s="2266" t="str">
        <f>INDEX(PT_DIFFERENTIATION_NTAR,MATCH(B75,PT_DIFFERENTIATION_NTAR_ID,0))</f>
        <v/>
      </c>
      <c r="H75" s="1905"/>
      <c r="I75" s="1779"/>
      <c r="J75" s="1814"/>
      <c r="K75" s="1908"/>
      <c r="L75" s="1905" t="s">
        <v>297</v>
      </c>
      <c r="M75" s="2016"/>
      <c r="N75" s="330"/>
      <c r="O75" s="1664"/>
      <c r="P75" s="1664"/>
    </row>
    <row s="2950" customFormat="1" customHeight="1" ht="18.75" hidden="1">
      <c r="A76" s="1821"/>
      <c r="B76" s="1821"/>
      <c r="C76" s="369" t="s">
        <v>1062</v>
      </c>
      <c r="D76" s="2311"/>
      <c r="E76" s="2056"/>
      <c r="F76" s="2220"/>
      <c r="G76" s="2266"/>
      <c r="H76" s="1530"/>
      <c r="I76" s="657" t="s">
        <v>1063</v>
      </c>
      <c r="J76" s="577"/>
      <c r="K76" s="1530"/>
      <c r="L76" s="200"/>
      <c r="M76" s="2016"/>
      <c r="N76" s="330"/>
      <c r="O76" s="1664"/>
      <c r="P76" s="1664"/>
    </row>
    <row s="2950" customFormat="1" customHeight="1" ht="0.75" hidden="1">
      <c r="A77" s="1821"/>
      <c r="B77" s="1821"/>
      <c r="C77" s="369" t="s">
        <v>1068</v>
      </c>
      <c r="D77" s="2311"/>
      <c r="E77" s="2056"/>
      <c r="F77" s="2220"/>
      <c r="G77" s="406"/>
      <c r="H77" s="1530"/>
      <c r="I77" s="657"/>
      <c r="J77" s="577"/>
      <c r="K77" s="1530"/>
      <c r="L77" s="200"/>
      <c r="M77" s="2016"/>
      <c r="N77" s="330"/>
      <c r="O77" s="1664"/>
      <c r="P77" s="1664"/>
    </row>
    <row s="2950" customFormat="1" customHeight="1" ht="18.75" hidden="1">
      <c r="A78" s="1821" t="s">
        <v>266</v>
      </c>
      <c r="B78" s="1821" t="s">
        <v>267</v>
      </c>
      <c r="C78" s="369"/>
      <c r="D78" s="2311"/>
      <c r="E78" s="2056"/>
      <c r="F78" s="2220" t="str">
        <f>INDEX(PT_DIFFERENTIATION_VTAR,MATCH(A78,PT_DIFFERENTIATION_VTAR_ID,0))</f>
        <v>Тариф на подключение (технологическое присоединение) к централизованной системе водоотведения</v>
      </c>
      <c r="G78" s="2266" t="str">
        <f>INDEX(PT_DIFFERENTIATION_NTAR,MATCH(B78,PT_DIFFERENTIATION_NTAR_ID,0))</f>
        <v/>
      </c>
      <c r="H78" s="1905"/>
      <c r="I78" s="1779"/>
      <c r="J78" s="1814"/>
      <c r="K78" s="1908"/>
      <c r="L78" s="1905" t="s">
        <v>297</v>
      </c>
      <c r="M78" s="2016"/>
      <c r="N78" s="330"/>
      <c r="O78" s="1664"/>
      <c r="P78" s="1664"/>
    </row>
    <row s="2950" customFormat="1" customHeight="1" ht="18.75" hidden="1">
      <c r="A79" s="1821"/>
      <c r="B79" s="1821"/>
      <c r="C79" s="369" t="s">
        <v>1062</v>
      </c>
      <c r="D79" s="2311"/>
      <c r="E79" s="2056"/>
      <c r="F79" s="2220"/>
      <c r="G79" s="2266"/>
      <c r="H79" s="1530"/>
      <c r="I79" s="657" t="s">
        <v>1063</v>
      </c>
      <c r="J79" s="577"/>
      <c r="K79" s="1530"/>
      <c r="L79" s="200"/>
      <c r="M79" s="2016"/>
      <c r="N79" s="330"/>
      <c r="O79" s="1664"/>
      <c r="P79" s="1664"/>
    </row>
    <row s="2950" customFormat="1" customHeight="1" ht="0.75">
      <c r="A80" s="1821"/>
      <c r="B80" s="1821"/>
      <c r="C80" s="369" t="s">
        <v>1068</v>
      </c>
      <c r="D80" s="2311"/>
      <c r="E80" s="2056"/>
      <c r="F80" s="2220"/>
      <c r="G80" s="406"/>
      <c r="H80" s="1530"/>
      <c r="I80" s="657"/>
      <c r="J80" s="577"/>
      <c r="K80" s="1530"/>
      <c r="L80" s="200"/>
      <c r="M80" s="2016"/>
      <c r="N80" s="330"/>
      <c r="O80" s="1664"/>
      <c r="P80" s="1664"/>
    </row>
    <row customHeight="1" ht="18.75">
      <c r="A81" s="1821"/>
      <c r="B81" s="1821"/>
      <c r="D81" s="377"/>
      <c r="E81" s="133" t="s">
        <v>109</v>
      </c>
      <c r="F81" s="230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1" s="2303"/>
      <c r="H81" s="2303"/>
      <c r="I81" s="2303"/>
      <c r="J81" s="2303"/>
      <c r="K81" s="2303"/>
      <c r="L81" s="2303"/>
      <c r="M81" s="285"/>
      <c r="N81" s="330"/>
    </row>
    <row customHeight="1" ht="33.75">
      <c r="A82" s="1821"/>
      <c r="B82" s="1821"/>
      <c r="D82" s="377"/>
      <c r="E82" s="405"/>
      <c r="F82" s="184" t="s">
        <v>297</v>
      </c>
      <c r="G82" s="184" t="s">
        <v>297</v>
      </c>
      <c r="H82" s="2068" t="s">
        <v>297</v>
      </c>
      <c r="I82" s="2084"/>
      <c r="J82" s="184" t="s">
        <v>297</v>
      </c>
      <c r="K82" s="184" t="s">
        <v>297</v>
      </c>
      <c r="L82" s="407"/>
      <c r="M82" s="341" t="s">
        <v>1069</v>
      </c>
      <c r="N82" s="330"/>
    </row>
    <row customHeight="1" ht="18.75">
      <c r="A83" s="1821"/>
      <c r="B83" s="1821"/>
      <c r="D83" s="377"/>
      <c r="E83" s="133" t="s">
        <v>89</v>
      </c>
      <c r="F83" s="2303" t="s">
        <v>1070</v>
      </c>
      <c r="G83" s="2303"/>
      <c r="H83" s="2303"/>
      <c r="I83" s="2303"/>
      <c r="J83" s="2303"/>
      <c r="K83" s="2303"/>
      <c r="L83" s="2303"/>
      <c r="M83" s="285"/>
      <c r="N83" s="330"/>
    </row>
    <row s="2950" customFormat="1" customHeight="1" ht="60.75" hidden="1">
      <c r="A84" s="1821" t="s">
        <v>154</v>
      </c>
      <c r="B84" s="1821" t="s">
        <v>155</v>
      </c>
      <c r="C84" s="369"/>
      <c r="D84" s="2311"/>
      <c r="E84" s="2056"/>
      <c r="F84" s="2220" t="str">
        <f>INDEX(PT_DIFFERENTIATION_VTAR,MATCH(A84,PT_DIFFERENTIATION_VTAR_ID,0))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4" s="2266" t="str">
        <f>INDEX(PT_DIFFERENTIATION_NTAR,MATCH(B84,PT_DIFFERENTIATION_NTAR_ID,0))</f>
        <v/>
      </c>
      <c r="H84" s="1905"/>
      <c r="I84" s="1779"/>
      <c r="J84" s="1814"/>
      <c r="K84" s="1819"/>
      <c r="L84" s="1905" t="s">
        <v>297</v>
      </c>
      <c r="M84"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4" s="330"/>
      <c r="O84" s="1664"/>
      <c r="P84" s="1664"/>
    </row>
    <row s="2950" customFormat="1" customHeight="1" ht="18.75" hidden="1">
      <c r="A85" s="1821"/>
      <c r="B85" s="1821"/>
      <c r="C85" s="369" t="s">
        <v>1064</v>
      </c>
      <c r="D85" s="2311"/>
      <c r="E85" s="2056"/>
      <c r="F85" s="2220"/>
      <c r="G85" s="2266"/>
      <c r="H85" s="1530"/>
      <c r="I85" s="657" t="s">
        <v>1063</v>
      </c>
      <c r="J85" s="577"/>
      <c r="K85" s="1530"/>
      <c r="L85" s="200"/>
      <c r="M85" s="2016"/>
      <c r="N85" s="330"/>
      <c r="O85" s="1664"/>
      <c r="P85" s="1664"/>
    </row>
    <row s="2950" customFormat="1" customHeight="1" ht="0.75" hidden="1">
      <c r="A86" s="1821"/>
      <c r="B86" s="1821"/>
      <c r="C86" s="369" t="s">
        <v>1071</v>
      </c>
      <c r="D86" s="2311"/>
      <c r="E86" s="2056"/>
      <c r="F86" s="2220"/>
      <c r="G86" s="406"/>
      <c r="H86" s="1530"/>
      <c r="I86" s="657"/>
      <c r="J86" s="577"/>
      <c r="K86" s="1530"/>
      <c r="L86" s="200"/>
      <c r="M86" s="2016"/>
      <c r="N86" s="330"/>
      <c r="O86" s="1664"/>
      <c r="P86" s="1664"/>
    </row>
    <row s="2950" customFormat="1" customHeight="1" ht="45" hidden="1">
      <c r="A87" s="1821" t="s">
        <v>162</v>
      </c>
      <c r="B87" s="1821" t="s">
        <v>163</v>
      </c>
      <c r="C87" s="369"/>
      <c r="D87" s="2311"/>
      <c r="E87" s="2056"/>
      <c r="F87" s="2220" t="str">
        <f>INDEX(PT_DIFFERENTIATION_VTAR,MATCH(A87,PT_DIFFERENTIATION_VTAR_ID,0))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87" s="2266" t="str">
        <f>INDEX(PT_DIFFERENTIATION_NTAR,MATCH(B87,PT_DIFFERENTIATION_NTAR_ID,0))</f>
        <v>Тариф на тепловую энергию</v>
      </c>
      <c r="H87" s="1905"/>
      <c r="I87" s="1779"/>
      <c r="J87" s="1814"/>
      <c r="K87" s="1819"/>
      <c r="L87" s="1905" t="s">
        <v>297</v>
      </c>
      <c r="M87" s="2017"/>
      <c r="N87" s="330"/>
      <c r="O87" s="1664"/>
      <c r="P87" s="1664"/>
    </row>
    <row s="2950" customFormat="1" customHeight="1" ht="18.75" hidden="1">
      <c r="A88" s="1821"/>
      <c r="B88" s="1821"/>
      <c r="C88" s="369" t="s">
        <v>1064</v>
      </c>
      <c r="D88" s="2311"/>
      <c r="E88" s="2056"/>
      <c r="F88" s="2220"/>
      <c r="G88" s="2266"/>
      <c r="H88" s="1530"/>
      <c r="I88" s="657" t="s">
        <v>1063</v>
      </c>
      <c r="J88" s="577"/>
      <c r="K88" s="1530"/>
      <c r="L88" s="200"/>
      <c r="M88" s="1904"/>
      <c r="N88" s="330"/>
      <c r="O88" s="1664"/>
      <c r="P88" s="1664"/>
    </row>
    <row s="2950" customFormat="1" customHeight="1" ht="0.75" hidden="1">
      <c r="A89" s="1821"/>
      <c r="B89" s="1821"/>
      <c r="C89" s="369" t="s">
        <v>1071</v>
      </c>
      <c r="D89" s="2311"/>
      <c r="E89" s="2056"/>
      <c r="F89" s="2220"/>
      <c r="G89" s="406"/>
      <c r="H89" s="1530"/>
      <c r="I89" s="657"/>
      <c r="J89" s="577"/>
      <c r="K89" s="1530"/>
      <c r="L89" s="200"/>
      <c r="M89" s="337"/>
      <c r="N89" s="330"/>
      <c r="O89" s="1664"/>
      <c r="P89" s="1664"/>
    </row>
    <row s="2950" customFormat="1" customHeight="1" ht="45" hidden="1">
      <c r="A90" s="1821" t="s">
        <v>172</v>
      </c>
      <c r="B90" s="1821" t="s">
        <v>173</v>
      </c>
      <c r="C90" s="369"/>
      <c r="D90" s="2311"/>
      <c r="E90" s="2056"/>
      <c r="F90" s="2220" t="str">
        <f>INDEX(PT_DIFFERENTIATION_VTAR,MATCH(A90,PT_DIFFERENTIATION_VTAR_ID,0))</f>
        <v>Тарифы на теплоноситель, поставляемый теплоснабжающими организациями потребителям, другим теплоснабжающим организациям</v>
      </c>
      <c r="G90" s="2266" t="str">
        <f>INDEX(PT_DIFFERENTIATION_NTAR,MATCH(B90,PT_DIFFERENTIATION_NTAR_ID,0))</f>
        <v/>
      </c>
      <c r="H90" s="1905"/>
      <c r="I90" s="1779"/>
      <c r="J90" s="1814"/>
      <c r="K90" s="1819"/>
      <c r="L90" s="1905" t="s">
        <v>297</v>
      </c>
      <c r="M90" s="337"/>
      <c r="N90" s="330"/>
      <c r="O90" s="1664"/>
      <c r="P90" s="1664"/>
    </row>
    <row s="2950" customFormat="1" customHeight="1" ht="18.75" hidden="1">
      <c r="A91" s="1821"/>
      <c r="B91" s="1821"/>
      <c r="C91" s="369" t="s">
        <v>1064</v>
      </c>
      <c r="D91" s="2311"/>
      <c r="E91" s="2056"/>
      <c r="F91" s="2220"/>
      <c r="G91" s="2266"/>
      <c r="H91" s="1530"/>
      <c r="I91" s="657" t="s">
        <v>1063</v>
      </c>
      <c r="J91" s="577"/>
      <c r="K91" s="1530"/>
      <c r="L91" s="200"/>
      <c r="M91" s="337"/>
      <c r="N91" s="330"/>
      <c r="O91" s="1664"/>
      <c r="P91" s="1664"/>
    </row>
    <row s="2950" customFormat="1" customHeight="1" ht="0.75" hidden="1">
      <c r="A92" s="1821"/>
      <c r="B92" s="1821"/>
      <c r="C92" s="369" t="s">
        <v>1071</v>
      </c>
      <c r="D92" s="2311"/>
      <c r="E92" s="2056"/>
      <c r="F92" s="2220"/>
      <c r="G92" s="406"/>
      <c r="H92" s="1530"/>
      <c r="I92" s="657"/>
      <c r="J92" s="577"/>
      <c r="K92" s="1530"/>
      <c r="L92" s="200"/>
      <c r="M92" s="337"/>
      <c r="N92" s="330"/>
      <c r="O92" s="1664"/>
      <c r="P92" s="1664"/>
    </row>
    <row s="2950" customFormat="1" customHeight="1" ht="45" hidden="1">
      <c r="A93" s="1821" t="s">
        <v>178</v>
      </c>
      <c r="B93" s="1821" t="s">
        <v>179</v>
      </c>
      <c r="C93" s="369"/>
      <c r="D93" s="2311"/>
      <c r="E93" s="2056"/>
      <c r="F93" s="2220" t="str">
        <f>INDEX(PT_DIFFERENTIATION_VTAR,MATCH(A93,PT_DIFFERENTIATION_VTAR_ID,0))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3" s="2266" t="str">
        <f>INDEX(PT_DIFFERENTIATION_NTAR,MATCH(B93,PT_DIFFERENTIATION_NTAR_ID,0))</f>
        <v/>
      </c>
      <c r="H93" s="1905"/>
      <c r="I93" s="1779"/>
      <c r="J93" s="1814"/>
      <c r="K93" s="1819"/>
      <c r="L93" s="1905" t="s">
        <v>297</v>
      </c>
      <c r="M93" s="337"/>
      <c r="N93" s="330"/>
      <c r="O93" s="1664"/>
      <c r="P93" s="1664"/>
    </row>
    <row s="2950" customFormat="1" customHeight="1" ht="18.75" hidden="1">
      <c r="A94" s="1821"/>
      <c r="B94" s="1821"/>
      <c r="C94" s="369" t="s">
        <v>1064</v>
      </c>
      <c r="D94" s="2311"/>
      <c r="E94" s="2056"/>
      <c r="F94" s="2220"/>
      <c r="G94" s="2266"/>
      <c r="H94" s="1530"/>
      <c r="I94" s="657" t="s">
        <v>1063</v>
      </c>
      <c r="J94" s="577"/>
      <c r="K94" s="1530"/>
      <c r="L94" s="200"/>
      <c r="M94" s="337"/>
      <c r="N94" s="330"/>
      <c r="O94" s="1664"/>
      <c r="P94" s="1664"/>
    </row>
    <row s="2950" customFormat="1" customHeight="1" ht="0.75" hidden="1">
      <c r="A95" s="1821"/>
      <c r="B95" s="1821"/>
      <c r="C95" s="369" t="s">
        <v>1071</v>
      </c>
      <c r="D95" s="2311"/>
      <c r="E95" s="2056"/>
      <c r="F95" s="2220"/>
      <c r="G95" s="406"/>
      <c r="H95" s="1530"/>
      <c r="I95" s="657"/>
      <c r="J95" s="577"/>
      <c r="K95" s="1530"/>
      <c r="L95" s="200"/>
      <c r="M95" s="337"/>
      <c r="N95" s="330"/>
      <c r="O95" s="1664"/>
      <c r="P95" s="1664"/>
    </row>
    <row s="2950" customFormat="1" customHeight="1" ht="18.75" hidden="1">
      <c r="A96" s="1821" t="s">
        <v>184</v>
      </c>
      <c r="B96" s="1821" t="s">
        <v>185</v>
      </c>
      <c r="C96" s="369"/>
      <c r="D96" s="2311"/>
      <c r="E96" s="2056"/>
      <c r="F96" s="2220" t="str">
        <f>INDEX(PT_DIFFERENTIATION_VTAR,MATCH(A96,PT_DIFFERENTIATION_VTAR_ID,0))</f>
        <v>Тарифы на услуги по передаче тепловой энергии</v>
      </c>
      <c r="G96" s="2266" t="str">
        <f>INDEX(PT_DIFFERENTIATION_NTAR,MATCH(B96,PT_DIFFERENTIATION_NTAR_ID,0))</f>
        <v/>
      </c>
      <c r="H96" s="1905"/>
      <c r="I96" s="1779"/>
      <c r="J96" s="1814"/>
      <c r="K96" s="1819"/>
      <c r="L96" s="1905" t="s">
        <v>297</v>
      </c>
      <c r="M96" s="337"/>
      <c r="N96" s="330"/>
      <c r="O96" s="1664"/>
      <c r="P96" s="1664"/>
    </row>
    <row s="2950" customFormat="1" customHeight="1" ht="18.75" hidden="1">
      <c r="A97" s="1821"/>
      <c r="B97" s="1821"/>
      <c r="C97" s="369" t="s">
        <v>1064</v>
      </c>
      <c r="D97" s="2311"/>
      <c r="E97" s="2056"/>
      <c r="F97" s="2220"/>
      <c r="G97" s="2266"/>
      <c r="H97" s="1530"/>
      <c r="I97" s="657" t="s">
        <v>1063</v>
      </c>
      <c r="J97" s="577"/>
      <c r="K97" s="1530"/>
      <c r="L97" s="200"/>
      <c r="M97" s="337"/>
      <c r="N97" s="330"/>
      <c r="O97" s="1664"/>
      <c r="P97" s="1664"/>
    </row>
    <row s="2950" customFormat="1" customHeight="1" ht="0.75" hidden="1">
      <c r="A98" s="1821"/>
      <c r="B98" s="1821"/>
      <c r="C98" s="369" t="s">
        <v>1071</v>
      </c>
      <c r="D98" s="2311"/>
      <c r="E98" s="2056"/>
      <c r="F98" s="2220"/>
      <c r="G98" s="406"/>
      <c r="H98" s="1530"/>
      <c r="I98" s="657"/>
      <c r="J98" s="577"/>
      <c r="K98" s="1530"/>
      <c r="L98" s="200"/>
      <c r="M98" s="337"/>
      <c r="N98" s="330"/>
      <c r="O98" s="1664"/>
      <c r="P98" s="1664"/>
    </row>
    <row s="2950" customFormat="1" customHeight="1" ht="18.75" hidden="1">
      <c r="A99" s="1821" t="s">
        <v>190</v>
      </c>
      <c r="B99" s="1821" t="s">
        <v>191</v>
      </c>
      <c r="C99" s="369"/>
      <c r="D99" s="2311"/>
      <c r="E99" s="2056"/>
      <c r="F99" s="2220" t="str">
        <f>INDEX(PT_DIFFERENTIATION_VTAR,MATCH(A99,PT_DIFFERENTIATION_VTAR_ID,0))</f>
        <v>Тарифы на услуги по передаче теплоносителя</v>
      </c>
      <c r="G99" s="2266" t="str">
        <f>INDEX(PT_DIFFERENTIATION_NTAR,MATCH(B99,PT_DIFFERENTIATION_NTAR_ID,0))</f>
        <v/>
      </c>
      <c r="H99" s="1905"/>
      <c r="I99" s="1779"/>
      <c r="J99" s="1814"/>
      <c r="K99" s="1819"/>
      <c r="L99" s="1905" t="s">
        <v>297</v>
      </c>
      <c r="M99" s="337"/>
      <c r="N99" s="330"/>
      <c r="O99" s="1664"/>
      <c r="P99" s="1664"/>
    </row>
    <row s="2950" customFormat="1" customHeight="1" ht="18.75" hidden="1">
      <c r="A100" s="1821"/>
      <c r="B100" s="1821"/>
      <c r="C100" s="369" t="s">
        <v>1064</v>
      </c>
      <c r="D100" s="2311"/>
      <c r="E100" s="2056"/>
      <c r="F100" s="2220"/>
      <c r="G100" s="2266"/>
      <c r="H100" s="1530"/>
      <c r="I100" s="657" t="s">
        <v>1063</v>
      </c>
      <c r="J100" s="577"/>
      <c r="K100" s="1530"/>
      <c r="L100" s="200"/>
      <c r="M100" s="337"/>
      <c r="N100" s="330"/>
      <c r="O100" s="1664"/>
      <c r="P100" s="1664"/>
    </row>
    <row s="2950" customFormat="1" customHeight="1" ht="0.75" hidden="1">
      <c r="A101" s="1821"/>
      <c r="B101" s="1821"/>
      <c r="C101" s="369" t="s">
        <v>1071</v>
      </c>
      <c r="D101" s="2311"/>
      <c r="E101" s="2056"/>
      <c r="F101" s="2220"/>
      <c r="G101" s="406"/>
      <c r="H101" s="1530"/>
      <c r="I101" s="657"/>
      <c r="J101" s="577"/>
      <c r="K101" s="1530"/>
      <c r="L101" s="200"/>
      <c r="M101" s="337"/>
      <c r="N101" s="330"/>
      <c r="O101" s="1664"/>
      <c r="P101" s="1664"/>
    </row>
    <row s="2950" customFormat="1" customHeight="1" ht="18.75" hidden="1">
      <c r="A102" s="1821" t="s">
        <v>196</v>
      </c>
      <c r="B102" s="1821" t="s">
        <v>197</v>
      </c>
      <c r="C102" s="369"/>
      <c r="D102" s="2311"/>
      <c r="E102" s="2056"/>
      <c r="F102" s="2220" t="str">
        <f>INDEX(PT_DIFFERENTIATION_VTAR,MATCH(A102,PT_DIFFERENTIATION_VTAR_ID,0))</f>
        <v>Плата за услуги по поддержанию резервной тепловой мощности при отсутствии потребления тепловой энергии</v>
      </c>
      <c r="G102" s="2266" t="str">
        <f>INDEX(PT_DIFFERENTIATION_NTAR,MATCH(B102,PT_DIFFERENTIATION_NTAR_ID,0))</f>
        <v/>
      </c>
      <c r="H102" s="1905"/>
      <c r="I102" s="1779"/>
      <c r="J102" s="1814"/>
      <c r="K102" s="1819"/>
      <c r="L102" s="1905" t="s">
        <v>297</v>
      </c>
      <c r="M102" s="337"/>
      <c r="N102" s="330"/>
      <c r="O102" s="1664"/>
      <c r="P102" s="1664"/>
    </row>
    <row s="2950" customFormat="1" customHeight="1" ht="18.75" hidden="1">
      <c r="A103" s="1821"/>
      <c r="B103" s="1821"/>
      <c r="C103" s="369" t="s">
        <v>1064</v>
      </c>
      <c r="D103" s="2311"/>
      <c r="E103" s="2056"/>
      <c r="F103" s="2220"/>
      <c r="G103" s="2266"/>
      <c r="H103" s="1530"/>
      <c r="I103" s="657" t="s">
        <v>1063</v>
      </c>
      <c r="J103" s="577"/>
      <c r="K103" s="1530"/>
      <c r="L103" s="200"/>
      <c r="M103" s="337"/>
      <c r="N103" s="330"/>
      <c r="O103" s="1664"/>
      <c r="P103" s="1664"/>
    </row>
    <row s="2950" customFormat="1" customHeight="1" ht="0.75" hidden="1">
      <c r="A104" s="1821"/>
      <c r="B104" s="1821"/>
      <c r="C104" s="369" t="s">
        <v>1071</v>
      </c>
      <c r="D104" s="2311"/>
      <c r="E104" s="2056"/>
      <c r="F104" s="2220"/>
      <c r="G104" s="406"/>
      <c r="H104" s="1530"/>
      <c r="I104" s="657"/>
      <c r="J104" s="577"/>
      <c r="K104" s="1530"/>
      <c r="L104" s="200"/>
      <c r="M104" s="337"/>
      <c r="N104" s="330"/>
      <c r="O104" s="1664"/>
      <c r="P104" s="1664"/>
    </row>
    <row s="2950" customFormat="1" customHeight="1" ht="18.75" hidden="1">
      <c r="A105" s="1821" t="s">
        <v>202</v>
      </c>
      <c r="B105" s="1821" t="s">
        <v>203</v>
      </c>
      <c r="C105" s="369"/>
      <c r="D105" s="2311"/>
      <c r="E105" s="2056"/>
      <c r="F105" s="2220" t="str">
        <f>INDEX(PT_DIFFERENTIATION_VTAR,MATCH(A105,PT_DIFFERENTIATION_VTAR_ID,0))</f>
        <v>Плата за подключение (технологическое присоединение) к системе теплоснабжения</v>
      </c>
      <c r="G105" s="2266" t="str">
        <f>INDEX(PT_DIFFERENTIATION_NTAR,MATCH(B105,PT_DIFFERENTIATION_NTAR_ID,0))</f>
        <v/>
      </c>
      <c r="H105" s="1905"/>
      <c r="I105" s="1779"/>
      <c r="J105" s="1814"/>
      <c r="K105" s="1819"/>
      <c r="L105" s="1905" t="s">
        <v>297</v>
      </c>
      <c r="M105" s="337"/>
      <c r="N105" s="330"/>
      <c r="O105" s="1664"/>
      <c r="P105" s="1664"/>
    </row>
    <row s="2950" customFormat="1" customHeight="1" ht="18.75" hidden="1">
      <c r="A106" s="1821"/>
      <c r="B106" s="1821"/>
      <c r="C106" s="369" t="s">
        <v>1064</v>
      </c>
      <c r="D106" s="2311"/>
      <c r="E106" s="2056"/>
      <c r="F106" s="2220"/>
      <c r="G106" s="2266"/>
      <c r="H106" s="1530"/>
      <c r="I106" s="657" t="s">
        <v>1063</v>
      </c>
      <c r="J106" s="577"/>
      <c r="K106" s="1530"/>
      <c r="L106" s="200"/>
      <c r="M106" s="337"/>
      <c r="N106" s="330"/>
      <c r="O106" s="1664"/>
      <c r="P106" s="1664"/>
    </row>
    <row s="2950" customFormat="1" customHeight="1" ht="0.75" hidden="1">
      <c r="A107" s="1821"/>
      <c r="B107" s="1821"/>
      <c r="C107" s="369" t="s">
        <v>1071</v>
      </c>
      <c r="D107" s="2311"/>
      <c r="E107" s="2056"/>
      <c r="F107" s="2220"/>
      <c r="G107" s="406"/>
      <c r="H107" s="1530"/>
      <c r="I107" s="657"/>
      <c r="J107" s="577"/>
      <c r="K107" s="1530"/>
      <c r="L107" s="200"/>
      <c r="M107" s="337"/>
      <c r="N107" s="330"/>
      <c r="O107" s="1664"/>
      <c r="P107" s="1664"/>
    </row>
    <row s="2950" customFormat="1" customHeight="1" ht="18.75" hidden="1">
      <c r="A108" s="1821" t="s">
        <v>216</v>
      </c>
      <c r="B108" s="1821" t="s">
        <v>217</v>
      </c>
      <c r="C108" s="369"/>
      <c r="D108" s="2311"/>
      <c r="E108" s="2056"/>
      <c r="F108" s="2220" t="str">
        <f>INDEX(PT_DIFFERENTIATION_VTAR,MATCH(A108,PT_DIFFERENTIATION_VTAR_ID,0))</f>
        <v>Тариф на питьевую воду (питьевое водоснабжение)</v>
      </c>
      <c r="G108" s="2266" t="str">
        <f>INDEX(PT_DIFFERENTIATION_NTAR,MATCH(B108,PT_DIFFERENTIATION_NTAR_ID,0))</f>
        <v/>
      </c>
      <c r="H108" s="1905"/>
      <c r="I108" s="1779"/>
      <c r="J108" s="1814"/>
      <c r="K108" s="1819"/>
      <c r="L108" s="1905" t="s">
        <v>297</v>
      </c>
      <c r="M108" s="337"/>
      <c r="N108" s="330"/>
      <c r="O108" s="1664"/>
      <c r="P108" s="1664"/>
    </row>
    <row s="2950" customFormat="1" customHeight="1" ht="18.75" hidden="1">
      <c r="A109" s="1821"/>
      <c r="B109" s="1821"/>
      <c r="C109" s="369" t="s">
        <v>1064</v>
      </c>
      <c r="D109" s="2311"/>
      <c r="E109" s="2056"/>
      <c r="F109" s="2220"/>
      <c r="G109" s="2266"/>
      <c r="H109" s="1530"/>
      <c r="I109" s="657" t="s">
        <v>1063</v>
      </c>
      <c r="J109" s="577"/>
      <c r="K109" s="1530"/>
      <c r="L109" s="200"/>
      <c r="M109" s="337"/>
      <c r="N109" s="330"/>
      <c r="O109" s="1664"/>
      <c r="P109" s="1664"/>
    </row>
    <row s="2950" customFormat="1" customHeight="1" ht="0.75" hidden="1">
      <c r="A110" s="1821"/>
      <c r="B110" s="1821"/>
      <c r="C110" s="369" t="s">
        <v>1071</v>
      </c>
      <c r="D110" s="2311"/>
      <c r="E110" s="2056"/>
      <c r="F110" s="2220"/>
      <c r="G110" s="406"/>
      <c r="H110" s="1530"/>
      <c r="I110" s="657"/>
      <c r="J110" s="577"/>
      <c r="K110" s="1530"/>
      <c r="L110" s="200"/>
      <c r="M110" s="337"/>
      <c r="N110" s="330"/>
      <c r="O110" s="1664"/>
      <c r="P110" s="1664"/>
    </row>
    <row s="2950" customFormat="1" customHeight="1" ht="18.75" hidden="1">
      <c r="A111" s="1821" t="s">
        <v>221</v>
      </c>
      <c r="B111" s="1821" t="s">
        <v>222</v>
      </c>
      <c r="C111" s="369"/>
      <c r="D111" s="2311"/>
      <c r="E111" s="2056"/>
      <c r="F111" s="2220" t="str">
        <f>INDEX(PT_DIFFERENTIATION_VTAR,MATCH(A111,PT_DIFFERENTIATION_VTAR_ID,0))</f>
        <v>Тариф на техническую воду</v>
      </c>
      <c r="G111" s="2266" t="str">
        <f>INDEX(PT_DIFFERENTIATION_NTAR,MATCH(B111,PT_DIFFERENTIATION_NTAR_ID,0))</f>
        <v/>
      </c>
      <c r="H111" s="1905"/>
      <c r="I111" s="1779"/>
      <c r="J111" s="1814"/>
      <c r="K111" s="1819"/>
      <c r="L111" s="1905" t="s">
        <v>297</v>
      </c>
      <c r="M111" s="337"/>
      <c r="N111" s="330"/>
      <c r="O111" s="1664"/>
      <c r="P111" s="1664"/>
    </row>
    <row s="2950" customFormat="1" customHeight="1" ht="18.75" hidden="1">
      <c r="A112" s="1821"/>
      <c r="B112" s="1821"/>
      <c r="C112" s="369" t="s">
        <v>1064</v>
      </c>
      <c r="D112" s="2311"/>
      <c r="E112" s="2056"/>
      <c r="F112" s="2220"/>
      <c r="G112" s="2266"/>
      <c r="H112" s="1530"/>
      <c r="I112" s="657" t="s">
        <v>1063</v>
      </c>
      <c r="J112" s="577"/>
      <c r="K112" s="1530"/>
      <c r="L112" s="200"/>
      <c r="M112" s="337"/>
      <c r="N112" s="330"/>
      <c r="O112" s="1664"/>
      <c r="P112" s="1664"/>
    </row>
    <row s="2950" customFormat="1" customHeight="1" ht="0.75" hidden="1">
      <c r="A113" s="1821"/>
      <c r="B113" s="1821"/>
      <c r="C113" s="369" t="s">
        <v>1071</v>
      </c>
      <c r="D113" s="2311"/>
      <c r="E113" s="2056"/>
      <c r="F113" s="2220"/>
      <c r="G113" s="406"/>
      <c r="H113" s="1530"/>
      <c r="I113" s="657"/>
      <c r="J113" s="577"/>
      <c r="K113" s="1530"/>
      <c r="L113" s="200"/>
      <c r="M113" s="337"/>
      <c r="N113" s="330"/>
      <c r="O113" s="1664"/>
      <c r="P113" s="1664"/>
    </row>
    <row s="2950" customFormat="1" customHeight="1" ht="18.75" hidden="1">
      <c r="A114" s="1821" t="s">
        <v>226</v>
      </c>
      <c r="B114" s="1821" t="s">
        <v>227</v>
      </c>
      <c r="C114" s="369"/>
      <c r="D114" s="2311"/>
      <c r="E114" s="2056"/>
      <c r="F114" s="2220" t="str">
        <f>INDEX(PT_DIFFERENTIATION_VTAR,MATCH(A114,PT_DIFFERENTIATION_VTAR_ID,0))</f>
        <v>Тариф на транспортировку воды</v>
      </c>
      <c r="G114" s="2266" t="str">
        <f>INDEX(PT_DIFFERENTIATION_NTAR,MATCH(B114,PT_DIFFERENTIATION_NTAR_ID,0))</f>
        <v/>
      </c>
      <c r="H114" s="1905"/>
      <c r="I114" s="1779"/>
      <c r="J114" s="1814"/>
      <c r="K114" s="1819"/>
      <c r="L114" s="1905" t="s">
        <v>297</v>
      </c>
      <c r="M114" s="337"/>
      <c r="N114" s="330"/>
      <c r="O114" s="1664"/>
      <c r="P114" s="1664"/>
    </row>
    <row s="2950" customFormat="1" customHeight="1" ht="18.75" hidden="1">
      <c r="A115" s="1821"/>
      <c r="B115" s="1821"/>
      <c r="C115" s="369" t="s">
        <v>1064</v>
      </c>
      <c r="D115" s="2311"/>
      <c r="E115" s="2056"/>
      <c r="F115" s="2220"/>
      <c r="G115" s="2266"/>
      <c r="H115" s="1530"/>
      <c r="I115" s="657" t="s">
        <v>1063</v>
      </c>
      <c r="J115" s="577"/>
      <c r="K115" s="1530"/>
      <c r="L115" s="200"/>
      <c r="M115" s="337"/>
      <c r="N115" s="330"/>
      <c r="O115" s="1664"/>
      <c r="P115" s="1664"/>
    </row>
    <row s="2950" customFormat="1" customHeight="1" ht="0.75" hidden="1">
      <c r="A116" s="1821"/>
      <c r="B116" s="1821"/>
      <c r="C116" s="369" t="s">
        <v>1071</v>
      </c>
      <c r="D116" s="2311"/>
      <c r="E116" s="2056"/>
      <c r="F116" s="2220"/>
      <c r="G116" s="406"/>
      <c r="H116" s="1530"/>
      <c r="I116" s="657"/>
      <c r="J116" s="577"/>
      <c r="K116" s="1530"/>
      <c r="L116" s="200"/>
      <c r="M116" s="337"/>
      <c r="N116" s="330"/>
      <c r="O116" s="1664"/>
      <c r="P116" s="1664"/>
    </row>
    <row s="2950" customFormat="1" customHeight="1" ht="18.75" hidden="1">
      <c r="A117" s="1821" t="s">
        <v>231</v>
      </c>
      <c r="B117" s="1821" t="s">
        <v>232</v>
      </c>
      <c r="C117" s="369"/>
      <c r="D117" s="2311"/>
      <c r="E117" s="2056"/>
      <c r="F117" s="2220" t="str">
        <f>INDEX(PT_DIFFERENTIATION_VTAR,MATCH(A117,PT_DIFFERENTIATION_VTAR_ID,0))</f>
        <v>Тариф на подвоз воды</v>
      </c>
      <c r="G117" s="2266" t="str">
        <f>INDEX(PT_DIFFERENTIATION_NTAR,MATCH(B117,PT_DIFFERENTIATION_NTAR_ID,0))</f>
        <v/>
      </c>
      <c r="H117" s="1905"/>
      <c r="I117" s="1779"/>
      <c r="J117" s="1814"/>
      <c r="K117" s="1819"/>
      <c r="L117" s="1905" t="s">
        <v>297</v>
      </c>
      <c r="M117" s="337"/>
      <c r="N117" s="330"/>
      <c r="O117" s="1664"/>
      <c r="P117" s="1664"/>
    </row>
    <row s="2950" customFormat="1" customHeight="1" ht="18.75" hidden="1">
      <c r="A118" s="1821"/>
      <c r="B118" s="1821"/>
      <c r="C118" s="369" t="s">
        <v>1064</v>
      </c>
      <c r="D118" s="2311"/>
      <c r="E118" s="2056"/>
      <c r="F118" s="2220"/>
      <c r="G118" s="2266"/>
      <c r="H118" s="1530"/>
      <c r="I118" s="657" t="s">
        <v>1063</v>
      </c>
      <c r="J118" s="577"/>
      <c r="K118" s="1530"/>
      <c r="L118" s="200"/>
      <c r="M118" s="337"/>
      <c r="N118" s="330"/>
      <c r="O118" s="1664"/>
      <c r="P118" s="1664"/>
    </row>
    <row s="2950" customFormat="1" customHeight="1" ht="0.75" hidden="1">
      <c r="A119" s="1821"/>
      <c r="B119" s="1821"/>
      <c r="C119" s="369" t="s">
        <v>1071</v>
      </c>
      <c r="D119" s="2311"/>
      <c r="E119" s="2056"/>
      <c r="F119" s="2220"/>
      <c r="G119" s="406"/>
      <c r="H119" s="1530"/>
      <c r="I119" s="657"/>
      <c r="J119" s="577"/>
      <c r="K119" s="1530"/>
      <c r="L119" s="200"/>
      <c r="M119" s="337"/>
      <c r="N119" s="330"/>
      <c r="O119" s="1664"/>
      <c r="P119" s="1664"/>
    </row>
    <row s="2950" customFormat="1" customHeight="1" ht="18.75" hidden="1">
      <c r="A120" s="1821" t="s">
        <v>236</v>
      </c>
      <c r="B120" s="1821" t="s">
        <v>237</v>
      </c>
      <c r="C120" s="369"/>
      <c r="D120" s="2311"/>
      <c r="E120" s="2056"/>
      <c r="F120" s="2220" t="str">
        <f>INDEX(PT_DIFFERENTIATION_VTAR,MATCH(A120,PT_DIFFERENTIATION_VTAR_ID,0))</f>
        <v>Тариф на подключение (технологическое присоединение) к централизованной системе холодного водоснабжения</v>
      </c>
      <c r="G120" s="2266" t="str">
        <f>INDEX(PT_DIFFERENTIATION_NTAR,MATCH(B120,PT_DIFFERENTIATION_NTAR_ID,0))</f>
        <v/>
      </c>
      <c r="H120" s="1905"/>
      <c r="I120" s="1779"/>
      <c r="J120" s="1814"/>
      <c r="K120" s="1819"/>
      <c r="L120" s="1905" t="s">
        <v>297</v>
      </c>
      <c r="M120" s="337"/>
      <c r="N120" s="330"/>
      <c r="O120" s="1664"/>
      <c r="P120" s="1664"/>
    </row>
    <row s="2950" customFormat="1" customHeight="1" ht="18.75" hidden="1">
      <c r="A121" s="1821"/>
      <c r="B121" s="1821"/>
      <c r="C121" s="369" t="s">
        <v>1064</v>
      </c>
      <c r="D121" s="2311"/>
      <c r="E121" s="2056"/>
      <c r="F121" s="2220"/>
      <c r="G121" s="2266"/>
      <c r="H121" s="1530"/>
      <c r="I121" s="657" t="s">
        <v>1063</v>
      </c>
      <c r="J121" s="577"/>
      <c r="K121" s="1530"/>
      <c r="L121" s="200"/>
      <c r="M121" s="337"/>
      <c r="N121" s="330"/>
      <c r="O121" s="1664"/>
      <c r="P121" s="1664"/>
    </row>
    <row s="2950" customFormat="1" customHeight="1" ht="0.75" hidden="1">
      <c r="A122" s="1821"/>
      <c r="B122" s="1821"/>
      <c r="C122" s="369" t="s">
        <v>1071</v>
      </c>
      <c r="D122" s="2311"/>
      <c r="E122" s="2056"/>
      <c r="F122" s="2220"/>
      <c r="G122" s="406"/>
      <c r="H122" s="1530"/>
      <c r="I122" s="657"/>
      <c r="J122" s="577"/>
      <c r="K122" s="1530"/>
      <c r="L122" s="200"/>
      <c r="M122" s="337"/>
      <c r="N122" s="330"/>
      <c r="O122" s="1664"/>
      <c r="P122" s="1664"/>
    </row>
    <row s="2950" customFormat="1" customHeight="1" ht="18.75" hidden="1">
      <c r="A123" s="1821" t="s">
        <v>241</v>
      </c>
      <c r="B123" s="1821" t="s">
        <v>242</v>
      </c>
      <c r="C123" s="369"/>
      <c r="D123" s="2311"/>
      <c r="E123" s="2056"/>
      <c r="F123" s="2220" t="str">
        <f>INDEX(PT_DIFFERENTIATION_VTAR,MATCH(A123,PT_DIFFERENTIATION_VTAR_ID,0))</f>
        <v>Тариф на горячую воду (горячее водоснабжение)</v>
      </c>
      <c r="G123" s="2266" t="str">
        <f>INDEX(PT_DIFFERENTIATION_NTAR,MATCH(B123,PT_DIFFERENTIATION_NTAR_ID,0))</f>
        <v/>
      </c>
      <c r="H123" s="1905"/>
      <c r="I123" s="1779"/>
      <c r="J123" s="1814"/>
      <c r="K123" s="1819"/>
      <c r="L123" s="1905" t="s">
        <v>297</v>
      </c>
      <c r="M123" s="337"/>
      <c r="N123" s="330"/>
      <c r="O123" s="1664"/>
      <c r="P123" s="1664"/>
    </row>
    <row s="2950" customFormat="1" customHeight="1" ht="18.75" hidden="1">
      <c r="A124" s="1821"/>
      <c r="B124" s="1821"/>
      <c r="C124" s="369" t="s">
        <v>1064</v>
      </c>
      <c r="D124" s="2311"/>
      <c r="E124" s="2056"/>
      <c r="F124" s="2220"/>
      <c r="G124" s="2266"/>
      <c r="H124" s="1530"/>
      <c r="I124" s="657" t="s">
        <v>1063</v>
      </c>
      <c r="J124" s="577"/>
      <c r="K124" s="1530"/>
      <c r="L124" s="200"/>
      <c r="M124" s="337"/>
      <c r="N124" s="330"/>
      <c r="O124" s="1664"/>
      <c r="P124" s="1664"/>
    </row>
    <row s="2950" customFormat="1" customHeight="1" ht="0.75" hidden="1">
      <c r="A125" s="1821"/>
      <c r="B125" s="1821"/>
      <c r="C125" s="369" t="s">
        <v>1071</v>
      </c>
      <c r="D125" s="2311"/>
      <c r="E125" s="2056"/>
      <c r="F125" s="2220"/>
      <c r="G125" s="406"/>
      <c r="H125" s="1530"/>
      <c r="I125" s="657"/>
      <c r="J125" s="577"/>
      <c r="K125" s="1530"/>
      <c r="L125" s="200"/>
      <c r="M125" s="337"/>
      <c r="N125" s="330"/>
      <c r="O125" s="1664"/>
      <c r="P125" s="1664"/>
    </row>
    <row s="2950" customFormat="1" customHeight="1" ht="18.75" hidden="1">
      <c r="A126" s="1821" t="s">
        <v>246</v>
      </c>
      <c r="B126" s="1821" t="s">
        <v>247</v>
      </c>
      <c r="C126" s="369"/>
      <c r="D126" s="2311"/>
      <c r="E126" s="2056"/>
      <c r="F126" s="2220" t="str">
        <f>INDEX(PT_DIFFERENTIATION_VTAR,MATCH(A126,PT_DIFFERENTIATION_VTAR_ID,0))</f>
        <v>Тариф на транспортировку горячей воды</v>
      </c>
      <c r="G126" s="2266" t="str">
        <f>INDEX(PT_DIFFERENTIATION_NTAR,MATCH(B126,PT_DIFFERENTIATION_NTAR_ID,0))</f>
        <v/>
      </c>
      <c r="H126" s="1905"/>
      <c r="I126" s="1779"/>
      <c r="J126" s="1814"/>
      <c r="K126" s="1819"/>
      <c r="L126" s="1905" t="s">
        <v>297</v>
      </c>
      <c r="M126" s="337"/>
      <c r="N126" s="330"/>
      <c r="O126" s="1664"/>
      <c r="P126" s="1664"/>
    </row>
    <row s="2950" customFormat="1" customHeight="1" ht="18.75" hidden="1">
      <c r="A127" s="1821"/>
      <c r="B127" s="1821"/>
      <c r="C127" s="369" t="s">
        <v>1064</v>
      </c>
      <c r="D127" s="2311"/>
      <c r="E127" s="2056"/>
      <c r="F127" s="2220"/>
      <c r="G127" s="2266"/>
      <c r="H127" s="1530"/>
      <c r="I127" s="657" t="s">
        <v>1063</v>
      </c>
      <c r="J127" s="577"/>
      <c r="K127" s="1530"/>
      <c r="L127" s="200"/>
      <c r="M127" s="337"/>
      <c r="N127" s="330"/>
      <c r="O127" s="1664"/>
      <c r="P127" s="1664"/>
    </row>
    <row s="2950" customFormat="1" customHeight="1" ht="0.75" hidden="1">
      <c r="A128" s="1821"/>
      <c r="B128" s="1821"/>
      <c r="C128" s="369" t="s">
        <v>1071</v>
      </c>
      <c r="D128" s="2311"/>
      <c r="E128" s="2056"/>
      <c r="F128" s="2220"/>
      <c r="G128" s="406"/>
      <c r="H128" s="1530"/>
      <c r="I128" s="657"/>
      <c r="J128" s="577"/>
      <c r="K128" s="1530"/>
      <c r="L128" s="200"/>
      <c r="M128" s="337"/>
      <c r="N128" s="330"/>
      <c r="O128" s="1664"/>
      <c r="P128" s="1664"/>
    </row>
    <row s="2950" customFormat="1" customHeight="1" ht="18.75" hidden="1">
      <c r="A129" s="1821" t="s">
        <v>251</v>
      </c>
      <c r="B129" s="1821" t="s">
        <v>252</v>
      </c>
      <c r="C129" s="369"/>
      <c r="D129" s="2311"/>
      <c r="E129" s="2056"/>
      <c r="F129" s="2220" t="str">
        <f>INDEX(PT_DIFFERENTIATION_VTAR,MATCH(A129,PT_DIFFERENTIATION_VTAR_ID,0))</f>
        <v>Тариф на подключение (технологическое присоединение) к централизованной системе горячего водоснабжения</v>
      </c>
      <c r="G129" s="2266" t="str">
        <f>INDEX(PT_DIFFERENTIATION_NTAR,MATCH(B129,PT_DIFFERENTIATION_NTAR_ID,0))</f>
        <v/>
      </c>
      <c r="H129" s="1905"/>
      <c r="I129" s="1779"/>
      <c r="J129" s="1814"/>
      <c r="K129" s="1819"/>
      <c r="L129" s="1905" t="s">
        <v>297</v>
      </c>
      <c r="M129" s="337"/>
      <c r="N129" s="330"/>
      <c r="O129" s="1664"/>
      <c r="P129" s="1664"/>
    </row>
    <row s="2950" customFormat="1" customHeight="1" ht="18.75" hidden="1">
      <c r="A130" s="1821"/>
      <c r="B130" s="1821"/>
      <c r="C130" s="369" t="s">
        <v>1064</v>
      </c>
      <c r="D130" s="2311"/>
      <c r="E130" s="2056"/>
      <c r="F130" s="2220"/>
      <c r="G130" s="2266"/>
      <c r="H130" s="1530"/>
      <c r="I130" s="657" t="s">
        <v>1063</v>
      </c>
      <c r="J130" s="577"/>
      <c r="K130" s="1530"/>
      <c r="L130" s="200"/>
      <c r="M130" s="337"/>
      <c r="N130" s="330"/>
      <c r="O130" s="1664"/>
      <c r="P130" s="1664"/>
    </row>
    <row s="2950" customFormat="1" customHeight="1" ht="0.75" hidden="1">
      <c r="A131" s="1821"/>
      <c r="B131" s="1821"/>
      <c r="C131" s="369" t="s">
        <v>1071</v>
      </c>
      <c r="D131" s="2311"/>
      <c r="E131" s="2056"/>
      <c r="F131" s="2220"/>
      <c r="G131" s="406"/>
      <c r="H131" s="1530"/>
      <c r="I131" s="657"/>
      <c r="J131" s="577"/>
      <c r="K131" s="1530"/>
      <c r="L131" s="200"/>
      <c r="M131" s="337"/>
      <c r="N131" s="330"/>
      <c r="O131" s="1664"/>
      <c r="P131" s="1664"/>
    </row>
    <row s="2950" customFormat="1" customHeight="1" ht="18.75" hidden="1">
      <c r="A132" s="1821" t="s">
        <v>256</v>
      </c>
      <c r="B132" s="1821" t="s">
        <v>257</v>
      </c>
      <c r="C132" s="369"/>
      <c r="D132" s="2311"/>
      <c r="E132" s="2056"/>
      <c r="F132" s="2220" t="str">
        <f>INDEX(PT_DIFFERENTIATION_VTAR,MATCH(A132,PT_DIFFERENTIATION_VTAR_ID,0))</f>
        <v>Тариф на водоотведение</v>
      </c>
      <c r="G132" s="2266" t="str">
        <f>INDEX(PT_DIFFERENTIATION_NTAR,MATCH(B132,PT_DIFFERENTIATION_NTAR_ID,0))</f>
        <v/>
      </c>
      <c r="H132" s="1905"/>
      <c r="I132" s="1779"/>
      <c r="J132" s="1814"/>
      <c r="K132" s="1819"/>
      <c r="L132" s="1905" t="s">
        <v>297</v>
      </c>
      <c r="M132" s="337"/>
      <c r="N132" s="330"/>
      <c r="O132" s="1664"/>
      <c r="P132" s="1664"/>
    </row>
    <row s="2950" customFormat="1" customHeight="1" ht="18.75" hidden="1">
      <c r="A133" s="1821"/>
      <c r="B133" s="1821"/>
      <c r="C133" s="369" t="s">
        <v>1064</v>
      </c>
      <c r="D133" s="2311"/>
      <c r="E133" s="2056"/>
      <c r="F133" s="2220"/>
      <c r="G133" s="2266"/>
      <c r="H133" s="1530"/>
      <c r="I133" s="657" t="s">
        <v>1063</v>
      </c>
      <c r="J133" s="577"/>
      <c r="K133" s="1530"/>
      <c r="L133" s="200"/>
      <c r="M133" s="337"/>
      <c r="N133" s="330"/>
      <c r="O133" s="1664"/>
      <c r="P133" s="1664"/>
    </row>
    <row s="2950" customFormat="1" customHeight="1" ht="0.75" hidden="1">
      <c r="A134" s="1821"/>
      <c r="B134" s="1821"/>
      <c r="C134" s="369" t="s">
        <v>1071</v>
      </c>
      <c r="D134" s="2311"/>
      <c r="E134" s="2056"/>
      <c r="F134" s="2220"/>
      <c r="G134" s="406"/>
      <c r="H134" s="1530"/>
      <c r="I134" s="657"/>
      <c r="J134" s="577"/>
      <c r="K134" s="1530"/>
      <c r="L134" s="200"/>
      <c r="M134" s="337"/>
      <c r="N134" s="330"/>
      <c r="O134" s="1664"/>
      <c r="P134" s="1664"/>
    </row>
    <row s="2950" customFormat="1" customHeight="1" ht="18.75" hidden="1">
      <c r="A135" s="1821" t="s">
        <v>261</v>
      </c>
      <c r="B135" s="1821" t="s">
        <v>262</v>
      </c>
      <c r="C135" s="369"/>
      <c r="D135" s="2311"/>
      <c r="E135" s="2056"/>
      <c r="F135" s="2220" t="str">
        <f>INDEX(PT_DIFFERENTIATION_VTAR,MATCH(A135,PT_DIFFERENTIATION_VTAR_ID,0))</f>
        <v>Тариф на транспортировку сточных вод</v>
      </c>
      <c r="G135" s="2266" t="str">
        <f>INDEX(PT_DIFFERENTIATION_NTAR,MATCH(B135,PT_DIFFERENTIATION_NTAR_ID,0))</f>
        <v/>
      </c>
      <c r="H135" s="1905"/>
      <c r="I135" s="1779"/>
      <c r="J135" s="1814"/>
      <c r="K135" s="1819"/>
      <c r="L135" s="1905" t="s">
        <v>297</v>
      </c>
      <c r="M135" s="337"/>
      <c r="N135" s="330"/>
      <c r="O135" s="1664"/>
      <c r="P135" s="1664"/>
    </row>
    <row s="2950" customFormat="1" customHeight="1" ht="18.75" hidden="1">
      <c r="A136" s="1821"/>
      <c r="B136" s="1821"/>
      <c r="C136" s="369" t="s">
        <v>1064</v>
      </c>
      <c r="D136" s="2311"/>
      <c r="E136" s="2056"/>
      <c r="F136" s="2220"/>
      <c r="G136" s="2266"/>
      <c r="H136" s="1530"/>
      <c r="I136" s="657" t="s">
        <v>1063</v>
      </c>
      <c r="J136" s="577"/>
      <c r="K136" s="1530"/>
      <c r="L136" s="200"/>
      <c r="M136" s="337"/>
      <c r="N136" s="330"/>
      <c r="O136" s="1664"/>
      <c r="P136" s="1664"/>
    </row>
    <row s="2950" customFormat="1" customHeight="1" ht="0.75" hidden="1">
      <c r="A137" s="1821"/>
      <c r="B137" s="1821"/>
      <c r="C137" s="369" t="s">
        <v>1071</v>
      </c>
      <c r="D137" s="2311"/>
      <c r="E137" s="2056"/>
      <c r="F137" s="2220"/>
      <c r="G137" s="406"/>
      <c r="H137" s="1530"/>
      <c r="I137" s="657"/>
      <c r="J137" s="577"/>
      <c r="K137" s="1530"/>
      <c r="L137" s="200"/>
      <c r="M137" s="337"/>
      <c r="N137" s="330"/>
      <c r="O137" s="1664"/>
      <c r="P137" s="1664"/>
    </row>
    <row s="2950" customFormat="1" customHeight="1" ht="18.75" hidden="1">
      <c r="A138" s="1821" t="s">
        <v>266</v>
      </c>
      <c r="B138" s="1821" t="s">
        <v>267</v>
      </c>
      <c r="C138" s="369"/>
      <c r="D138" s="2311"/>
      <c r="E138" s="2056"/>
      <c r="F138" s="2220" t="str">
        <f>INDEX(PT_DIFFERENTIATION_VTAR,MATCH(A138,PT_DIFFERENTIATION_VTAR_ID,0))</f>
        <v>Тариф на подключение (технологическое присоединение) к централизованной системе водоотведения</v>
      </c>
      <c r="G138" s="2266" t="str">
        <f>INDEX(PT_DIFFERENTIATION_NTAR,MATCH(B138,PT_DIFFERENTIATION_NTAR_ID,0))</f>
        <v/>
      </c>
      <c r="H138" s="1905"/>
      <c r="I138" s="1779"/>
      <c r="J138" s="1814"/>
      <c r="K138" s="1819"/>
      <c r="L138" s="1905" t="s">
        <v>297</v>
      </c>
      <c r="M138" s="337"/>
      <c r="N138" s="330"/>
      <c r="O138" s="1664"/>
      <c r="P138" s="1664"/>
    </row>
    <row s="2950" customFormat="1" customHeight="1" ht="18.75" hidden="1">
      <c r="A139" s="1821"/>
      <c r="B139" s="1821"/>
      <c r="C139" s="369" t="s">
        <v>1064</v>
      </c>
      <c r="D139" s="2311"/>
      <c r="E139" s="2056"/>
      <c r="F139" s="2220"/>
      <c r="G139" s="2266"/>
      <c r="H139" s="1530"/>
      <c r="I139" s="657" t="s">
        <v>1063</v>
      </c>
      <c r="J139" s="577"/>
      <c r="K139" s="1530"/>
      <c r="L139" s="200"/>
      <c r="M139" s="337"/>
      <c r="N139" s="330"/>
      <c r="O139" s="1664"/>
      <c r="P139" s="1664"/>
    </row>
    <row s="2950" customFormat="1" customHeight="1" ht="0.75">
      <c r="A140" s="1821"/>
      <c r="B140" s="1821"/>
      <c r="C140" s="369" t="s">
        <v>1071</v>
      </c>
      <c r="D140" s="2311"/>
      <c r="E140" s="2056"/>
      <c r="F140" s="2220"/>
      <c r="G140" s="406"/>
      <c r="H140" s="1530"/>
      <c r="I140" s="657"/>
      <c r="J140" s="577"/>
      <c r="K140" s="1530"/>
      <c r="L140" s="200"/>
      <c r="M140" s="337"/>
      <c r="N140" s="330"/>
      <c r="O140" s="1664"/>
      <c r="P140" s="1664"/>
    </row>
    <row customHeight="1" ht="18.75">
      <c r="A141" s="1821"/>
      <c r="B141" s="1821"/>
      <c r="D141" s="377"/>
      <c r="E141" s="133" t="s">
        <v>90</v>
      </c>
      <c r="F141" s="230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1" s="2303"/>
      <c r="H141" s="2303"/>
      <c r="I141" s="2303"/>
      <c r="J141" s="2303"/>
      <c r="K141" s="2303"/>
      <c r="L141" s="2303"/>
      <c r="M141" s="285"/>
      <c r="N141" s="330"/>
    </row>
    <row s="2950" customFormat="1" customHeight="1" ht="60.75" hidden="1">
      <c r="A142" s="1821" t="s">
        <v>154</v>
      </c>
      <c r="B142" s="1821" t="s">
        <v>155</v>
      </c>
      <c r="C142" s="369"/>
      <c r="D142" s="2311"/>
      <c r="E142" s="2056"/>
      <c r="F142" s="2220" t="str">
        <f>INDEX(PT_DIFFERENTIATION_VTAR,MATCH(A142,PT_DIFFERENTIATION_VTAR_ID,0))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2" s="2266" t="str">
        <f>INDEX(PT_DIFFERENTIATION_NTAR,MATCH(B142,PT_DIFFERENTIATION_NTAR_ID,0))</f>
        <v/>
      </c>
      <c r="H142" s="1905"/>
      <c r="I142" s="1779"/>
      <c r="J142" s="1814"/>
      <c r="K142" s="1819"/>
      <c r="L142" s="1905" t="s">
        <v>297</v>
      </c>
      <c r="M142"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2" s="330"/>
      <c r="O142" s="1664"/>
      <c r="P142" s="1664"/>
    </row>
    <row s="2950" customFormat="1" customHeight="1" ht="18.75" hidden="1">
      <c r="A143" s="1821"/>
      <c r="B143" s="1821"/>
      <c r="C143" s="369" t="s">
        <v>1064</v>
      </c>
      <c r="D143" s="2311"/>
      <c r="E143" s="2056"/>
      <c r="F143" s="2220"/>
      <c r="G143" s="2266"/>
      <c r="H143" s="1530"/>
      <c r="I143" s="657" t="s">
        <v>1063</v>
      </c>
      <c r="J143" s="577"/>
      <c r="K143" s="1530"/>
      <c r="L143" s="200"/>
      <c r="M143" s="2016"/>
      <c r="N143" s="330"/>
      <c r="O143" s="1664"/>
      <c r="P143" s="1664"/>
    </row>
    <row s="2950" customFormat="1" customHeight="1" ht="0.75" hidden="1">
      <c r="A144" s="1821"/>
      <c r="B144" s="1821"/>
      <c r="C144" s="369" t="s">
        <v>1071</v>
      </c>
      <c r="D144" s="2311"/>
      <c r="E144" s="2056"/>
      <c r="F144" s="2220"/>
      <c r="G144" s="406"/>
      <c r="H144" s="1530"/>
      <c r="I144" s="657"/>
      <c r="J144" s="577"/>
      <c r="K144" s="1530"/>
      <c r="L144" s="200"/>
      <c r="M144" s="2016"/>
      <c r="N144" s="330"/>
      <c r="O144" s="1664"/>
      <c r="P144" s="1664"/>
    </row>
    <row s="2950" customFormat="1" customHeight="1" ht="45" hidden="1">
      <c r="A145" s="1821" t="s">
        <v>162</v>
      </c>
      <c r="B145" s="1821" t="s">
        <v>163</v>
      </c>
      <c r="C145" s="369"/>
      <c r="D145" s="2311"/>
      <c r="E145" s="2056"/>
      <c r="F145" s="2220" t="str">
        <f>INDEX(PT_DIFFERENTIATION_VTAR,MATCH(A145,PT_DIFFERENTIATION_VTAR_ID,0))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45" s="2266" t="str">
        <f>INDEX(PT_DIFFERENTIATION_NTAR,MATCH(B145,PT_DIFFERENTIATION_NTAR_ID,0))</f>
        <v>Тариф на тепловую энергию</v>
      </c>
      <c r="H145" s="1905"/>
      <c r="I145" s="1779"/>
      <c r="J145" s="1814"/>
      <c r="K145" s="1819"/>
      <c r="L145" s="1905" t="s">
        <v>297</v>
      </c>
      <c r="M145" s="2017"/>
      <c r="N145" s="330"/>
      <c r="O145" s="1664"/>
      <c r="P145" s="1664"/>
    </row>
    <row s="2950" customFormat="1" customHeight="1" ht="18.75" hidden="1">
      <c r="A146" s="1821"/>
      <c r="B146" s="1821"/>
      <c r="C146" s="369" t="s">
        <v>1064</v>
      </c>
      <c r="D146" s="2311"/>
      <c r="E146" s="2056"/>
      <c r="F146" s="2220"/>
      <c r="G146" s="2266"/>
      <c r="H146" s="1530"/>
      <c r="I146" s="657" t="s">
        <v>1063</v>
      </c>
      <c r="J146" s="577"/>
      <c r="K146" s="1530"/>
      <c r="L146" s="200"/>
      <c r="M146" s="1904"/>
      <c r="N146" s="330"/>
      <c r="O146" s="1664"/>
      <c r="P146" s="1664"/>
    </row>
    <row s="2950" customFormat="1" customHeight="1" ht="0.75" hidden="1">
      <c r="A147" s="1821"/>
      <c r="B147" s="1821"/>
      <c r="C147" s="369" t="s">
        <v>1071</v>
      </c>
      <c r="D147" s="2311"/>
      <c r="E147" s="2056"/>
      <c r="F147" s="2220"/>
      <c r="G147" s="406"/>
      <c r="H147" s="1530"/>
      <c r="I147" s="657"/>
      <c r="J147" s="577"/>
      <c r="K147" s="1530"/>
      <c r="L147" s="200"/>
      <c r="M147" s="337"/>
      <c r="N147" s="330"/>
      <c r="O147" s="1664"/>
      <c r="P147" s="1664"/>
    </row>
    <row s="2950" customFormat="1" customHeight="1" ht="45" hidden="1">
      <c r="A148" s="1821" t="s">
        <v>172</v>
      </c>
      <c r="B148" s="1821" t="s">
        <v>173</v>
      </c>
      <c r="C148" s="369"/>
      <c r="D148" s="2311"/>
      <c r="E148" s="2056"/>
      <c r="F148" s="2220" t="str">
        <f>INDEX(PT_DIFFERENTIATION_VTAR,MATCH(A148,PT_DIFFERENTIATION_VTAR_ID,0))</f>
        <v>Тарифы на теплоноситель, поставляемый теплоснабжающими организациями потребителям, другим теплоснабжающим организациям</v>
      </c>
      <c r="G148" s="2266" t="str">
        <f>INDEX(PT_DIFFERENTIATION_NTAR,MATCH(B148,PT_DIFFERENTIATION_NTAR_ID,0))</f>
        <v/>
      </c>
      <c r="H148" s="1905"/>
      <c r="I148" s="1779"/>
      <c r="J148" s="1814"/>
      <c r="K148" s="1819"/>
      <c r="L148" s="1905" t="s">
        <v>297</v>
      </c>
      <c r="M148" s="337"/>
      <c r="N148" s="330"/>
      <c r="O148" s="1664"/>
      <c r="P148" s="1664"/>
    </row>
    <row s="2950" customFormat="1" customHeight="1" ht="18.75" hidden="1">
      <c r="A149" s="1821"/>
      <c r="B149" s="1821"/>
      <c r="C149" s="369" t="s">
        <v>1064</v>
      </c>
      <c r="D149" s="2311"/>
      <c r="E149" s="2056"/>
      <c r="F149" s="2220"/>
      <c r="G149" s="2266"/>
      <c r="H149" s="1530"/>
      <c r="I149" s="657" t="s">
        <v>1063</v>
      </c>
      <c r="J149" s="577"/>
      <c r="K149" s="1530"/>
      <c r="L149" s="200"/>
      <c r="M149" s="337"/>
      <c r="N149" s="330"/>
      <c r="O149" s="1664"/>
      <c r="P149" s="1664"/>
    </row>
    <row s="2950" customFormat="1" customHeight="1" ht="0.75" hidden="1">
      <c r="A150" s="1821"/>
      <c r="B150" s="1821"/>
      <c r="C150" s="369" t="s">
        <v>1071</v>
      </c>
      <c r="D150" s="2311"/>
      <c r="E150" s="2056"/>
      <c r="F150" s="2220"/>
      <c r="G150" s="406"/>
      <c r="H150" s="1530"/>
      <c r="I150" s="657"/>
      <c r="J150" s="577"/>
      <c r="K150" s="1530"/>
      <c r="L150" s="200"/>
      <c r="M150" s="337"/>
      <c r="N150" s="330"/>
      <c r="O150" s="1664"/>
      <c r="P150" s="1664"/>
    </row>
    <row s="2950" customFormat="1" customHeight="1" ht="45" hidden="1">
      <c r="A151" s="1821" t="s">
        <v>178</v>
      </c>
      <c r="B151" s="1821" t="s">
        <v>179</v>
      </c>
      <c r="C151" s="369"/>
      <c r="D151" s="2311"/>
      <c r="E151" s="2056"/>
      <c r="F151" s="2220" t="str">
        <f>INDEX(PT_DIFFERENTIATION_VTAR,MATCH(A151,PT_DIFFERENTIATION_VTAR_ID,0))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1" s="2266" t="str">
        <f>INDEX(PT_DIFFERENTIATION_NTAR,MATCH(B151,PT_DIFFERENTIATION_NTAR_ID,0))</f>
        <v/>
      </c>
      <c r="H151" s="1905"/>
      <c r="I151" s="1779"/>
      <c r="J151" s="1814"/>
      <c r="K151" s="1819"/>
      <c r="L151" s="1905" t="s">
        <v>297</v>
      </c>
      <c r="M151" s="337"/>
      <c r="N151" s="330"/>
      <c r="O151" s="1664"/>
      <c r="P151" s="1664"/>
    </row>
    <row s="2950" customFormat="1" customHeight="1" ht="18.75" hidden="1">
      <c r="A152" s="1821"/>
      <c r="B152" s="1821"/>
      <c r="C152" s="369" t="s">
        <v>1064</v>
      </c>
      <c r="D152" s="2311"/>
      <c r="E152" s="2056"/>
      <c r="F152" s="2220"/>
      <c r="G152" s="2266"/>
      <c r="H152" s="1530"/>
      <c r="I152" s="657" t="s">
        <v>1063</v>
      </c>
      <c r="J152" s="577"/>
      <c r="K152" s="1530"/>
      <c r="L152" s="200"/>
      <c r="M152" s="337"/>
      <c r="N152" s="330"/>
      <c r="O152" s="1664"/>
      <c r="P152" s="1664"/>
    </row>
    <row s="2950" customFormat="1" customHeight="1" ht="0.75" hidden="1">
      <c r="A153" s="1821"/>
      <c r="B153" s="1821"/>
      <c r="C153" s="369" t="s">
        <v>1071</v>
      </c>
      <c r="D153" s="2311"/>
      <c r="E153" s="2056"/>
      <c r="F153" s="2220"/>
      <c r="G153" s="406"/>
      <c r="H153" s="1530"/>
      <c r="I153" s="657"/>
      <c r="J153" s="577"/>
      <c r="K153" s="1530"/>
      <c r="L153" s="200"/>
      <c r="M153" s="337"/>
      <c r="N153" s="330"/>
      <c r="O153" s="1664"/>
      <c r="P153" s="1664"/>
    </row>
    <row s="2950" customFormat="1" customHeight="1" ht="18.75" hidden="1">
      <c r="A154" s="1821" t="s">
        <v>184</v>
      </c>
      <c r="B154" s="1821" t="s">
        <v>185</v>
      </c>
      <c r="C154" s="369"/>
      <c r="D154" s="2311"/>
      <c r="E154" s="2056"/>
      <c r="F154" s="2220" t="str">
        <f>INDEX(PT_DIFFERENTIATION_VTAR,MATCH(A154,PT_DIFFERENTIATION_VTAR_ID,0))</f>
        <v>Тарифы на услуги по передаче тепловой энергии</v>
      </c>
      <c r="G154" s="2266" t="str">
        <f>INDEX(PT_DIFFERENTIATION_NTAR,MATCH(B154,PT_DIFFERENTIATION_NTAR_ID,0))</f>
        <v/>
      </c>
      <c r="H154" s="1905"/>
      <c r="I154" s="1779"/>
      <c r="J154" s="1814"/>
      <c r="K154" s="1819"/>
      <c r="L154" s="1905" t="s">
        <v>297</v>
      </c>
      <c r="M154" s="337"/>
      <c r="N154" s="330"/>
      <c r="O154" s="1664"/>
      <c r="P154" s="1664"/>
    </row>
    <row s="2950" customFormat="1" customHeight="1" ht="18.75" hidden="1">
      <c r="A155" s="1821"/>
      <c r="B155" s="1821"/>
      <c r="C155" s="369" t="s">
        <v>1064</v>
      </c>
      <c r="D155" s="2311"/>
      <c r="E155" s="2056"/>
      <c r="F155" s="2220"/>
      <c r="G155" s="2266"/>
      <c r="H155" s="1530"/>
      <c r="I155" s="657" t="s">
        <v>1063</v>
      </c>
      <c r="J155" s="577"/>
      <c r="K155" s="1530"/>
      <c r="L155" s="200"/>
      <c r="M155" s="337"/>
      <c r="N155" s="330"/>
      <c r="O155" s="1664"/>
      <c r="P155" s="1664"/>
    </row>
    <row s="2950" customFormat="1" customHeight="1" ht="0.75" hidden="1">
      <c r="A156" s="1821"/>
      <c r="B156" s="1821"/>
      <c r="C156" s="369" t="s">
        <v>1071</v>
      </c>
      <c r="D156" s="2311"/>
      <c r="E156" s="2056"/>
      <c r="F156" s="2220"/>
      <c r="G156" s="406"/>
      <c r="H156" s="1530"/>
      <c r="I156" s="657"/>
      <c r="J156" s="577"/>
      <c r="K156" s="1530"/>
      <c r="L156" s="200"/>
      <c r="M156" s="337"/>
      <c r="N156" s="330"/>
      <c r="O156" s="1664"/>
      <c r="P156" s="1664"/>
    </row>
    <row s="2950" customFormat="1" customHeight="1" ht="18.75" hidden="1">
      <c r="A157" s="1821" t="s">
        <v>190</v>
      </c>
      <c r="B157" s="1821" t="s">
        <v>191</v>
      </c>
      <c r="C157" s="369"/>
      <c r="D157" s="2311"/>
      <c r="E157" s="2056"/>
      <c r="F157" s="2220" t="str">
        <f>INDEX(PT_DIFFERENTIATION_VTAR,MATCH(A157,PT_DIFFERENTIATION_VTAR_ID,0))</f>
        <v>Тарифы на услуги по передаче теплоносителя</v>
      </c>
      <c r="G157" s="2266" t="str">
        <f>INDEX(PT_DIFFERENTIATION_NTAR,MATCH(B157,PT_DIFFERENTIATION_NTAR_ID,0))</f>
        <v/>
      </c>
      <c r="H157" s="1905"/>
      <c r="I157" s="1779"/>
      <c r="J157" s="1814"/>
      <c r="K157" s="1819"/>
      <c r="L157" s="1905" t="s">
        <v>297</v>
      </c>
      <c r="M157" s="337"/>
      <c r="N157" s="330"/>
      <c r="O157" s="1664"/>
      <c r="P157" s="1664"/>
    </row>
    <row s="2950" customFormat="1" customHeight="1" ht="18.75" hidden="1">
      <c r="A158" s="1821"/>
      <c r="B158" s="1821"/>
      <c r="C158" s="369" t="s">
        <v>1064</v>
      </c>
      <c r="D158" s="2311"/>
      <c r="E158" s="2056"/>
      <c r="F158" s="2220"/>
      <c r="G158" s="2266"/>
      <c r="H158" s="1530"/>
      <c r="I158" s="657" t="s">
        <v>1063</v>
      </c>
      <c r="J158" s="577"/>
      <c r="K158" s="1530"/>
      <c r="L158" s="200"/>
      <c r="M158" s="337"/>
      <c r="N158" s="330"/>
      <c r="O158" s="1664"/>
      <c r="P158" s="1664"/>
    </row>
    <row s="2950" customFormat="1" customHeight="1" ht="0.75" hidden="1">
      <c r="A159" s="1821"/>
      <c r="B159" s="1821"/>
      <c r="C159" s="369" t="s">
        <v>1071</v>
      </c>
      <c r="D159" s="2311"/>
      <c r="E159" s="2056"/>
      <c r="F159" s="2220"/>
      <c r="G159" s="406"/>
      <c r="H159" s="1530"/>
      <c r="I159" s="657"/>
      <c r="J159" s="577"/>
      <c r="K159" s="1530"/>
      <c r="L159" s="200"/>
      <c r="M159" s="337"/>
      <c r="N159" s="330"/>
      <c r="O159" s="1664"/>
      <c r="P159" s="1664"/>
    </row>
    <row s="2950" customFormat="1" customHeight="1" ht="18.75" hidden="1">
      <c r="A160" s="1821" t="s">
        <v>196</v>
      </c>
      <c r="B160" s="1821" t="s">
        <v>197</v>
      </c>
      <c r="C160" s="369"/>
      <c r="D160" s="2311"/>
      <c r="E160" s="2056"/>
      <c r="F160" s="2220" t="str">
        <f>INDEX(PT_DIFFERENTIATION_VTAR,MATCH(A160,PT_DIFFERENTIATION_VTAR_ID,0))</f>
        <v>Плата за услуги по поддержанию резервной тепловой мощности при отсутствии потребления тепловой энергии</v>
      </c>
      <c r="G160" s="2266" t="str">
        <f>INDEX(PT_DIFFERENTIATION_NTAR,MATCH(B160,PT_DIFFERENTIATION_NTAR_ID,0))</f>
        <v/>
      </c>
      <c r="H160" s="1905"/>
      <c r="I160" s="1779"/>
      <c r="J160" s="1814"/>
      <c r="K160" s="1819"/>
      <c r="L160" s="1905" t="s">
        <v>297</v>
      </c>
      <c r="M160" s="337"/>
      <c r="N160" s="330"/>
      <c r="O160" s="1664"/>
      <c r="P160" s="1664"/>
    </row>
    <row s="2950" customFormat="1" customHeight="1" ht="18.75" hidden="1">
      <c r="A161" s="1821"/>
      <c r="B161" s="1821"/>
      <c r="C161" s="369" t="s">
        <v>1064</v>
      </c>
      <c r="D161" s="2311"/>
      <c r="E161" s="2056"/>
      <c r="F161" s="2220"/>
      <c r="G161" s="2266"/>
      <c r="H161" s="1530"/>
      <c r="I161" s="657" t="s">
        <v>1063</v>
      </c>
      <c r="J161" s="577"/>
      <c r="K161" s="1530"/>
      <c r="L161" s="200"/>
      <c r="M161" s="337"/>
      <c r="N161" s="330"/>
      <c r="O161" s="1664"/>
      <c r="P161" s="1664"/>
    </row>
    <row s="2950" customFormat="1" customHeight="1" ht="0.75" hidden="1">
      <c r="A162" s="1821"/>
      <c r="B162" s="1821"/>
      <c r="C162" s="369" t="s">
        <v>1071</v>
      </c>
      <c r="D162" s="2311"/>
      <c r="E162" s="2056"/>
      <c r="F162" s="2220"/>
      <c r="G162" s="406"/>
      <c r="H162" s="1530"/>
      <c r="I162" s="657"/>
      <c r="J162" s="577"/>
      <c r="K162" s="1530"/>
      <c r="L162" s="200"/>
      <c r="M162" s="337"/>
      <c r="N162" s="330"/>
      <c r="O162" s="1664"/>
      <c r="P162" s="1664"/>
    </row>
    <row s="2950" customFormat="1" customHeight="1" ht="18.75" hidden="1">
      <c r="A163" s="1821" t="s">
        <v>202</v>
      </c>
      <c r="B163" s="1821" t="s">
        <v>203</v>
      </c>
      <c r="C163" s="369"/>
      <c r="D163" s="2311"/>
      <c r="E163" s="2056"/>
      <c r="F163" s="2220" t="str">
        <f>INDEX(PT_DIFFERENTIATION_VTAR,MATCH(A163,PT_DIFFERENTIATION_VTAR_ID,0))</f>
        <v>Плата за подключение (технологическое присоединение) к системе теплоснабжения</v>
      </c>
      <c r="G163" s="2266" t="str">
        <f>INDEX(PT_DIFFERENTIATION_NTAR,MATCH(B163,PT_DIFFERENTIATION_NTAR_ID,0))</f>
        <v/>
      </c>
      <c r="H163" s="1905"/>
      <c r="I163" s="1779"/>
      <c r="J163" s="1814"/>
      <c r="K163" s="1819"/>
      <c r="L163" s="1905" t="s">
        <v>297</v>
      </c>
      <c r="M163" s="337"/>
      <c r="N163" s="330"/>
      <c r="O163" s="1664"/>
      <c r="P163" s="1664"/>
    </row>
    <row s="2950" customFormat="1" customHeight="1" ht="18.75" hidden="1">
      <c r="A164" s="1821"/>
      <c r="B164" s="1821"/>
      <c r="C164" s="369" t="s">
        <v>1064</v>
      </c>
      <c r="D164" s="2311"/>
      <c r="E164" s="2056"/>
      <c r="F164" s="2220"/>
      <c r="G164" s="2266"/>
      <c r="H164" s="1530"/>
      <c r="I164" s="657" t="s">
        <v>1063</v>
      </c>
      <c r="J164" s="577"/>
      <c r="K164" s="1530"/>
      <c r="L164" s="200"/>
      <c r="M164" s="337"/>
      <c r="N164" s="330"/>
      <c r="O164" s="1664"/>
      <c r="P164" s="1664"/>
    </row>
    <row s="2950" customFormat="1" customHeight="1" ht="0.75" hidden="1">
      <c r="A165" s="1821"/>
      <c r="B165" s="1821"/>
      <c r="C165" s="369" t="s">
        <v>1071</v>
      </c>
      <c r="D165" s="2311"/>
      <c r="E165" s="2056"/>
      <c r="F165" s="2220"/>
      <c r="G165" s="406"/>
      <c r="H165" s="1530"/>
      <c r="I165" s="657"/>
      <c r="J165" s="577"/>
      <c r="K165" s="1530"/>
      <c r="L165" s="200"/>
      <c r="M165" s="337"/>
      <c r="N165" s="330"/>
      <c r="O165" s="1664"/>
      <c r="P165" s="1664"/>
    </row>
    <row s="2950" customFormat="1" customHeight="1" ht="18.75" hidden="1">
      <c r="A166" s="1821" t="s">
        <v>216</v>
      </c>
      <c r="B166" s="1821" t="s">
        <v>217</v>
      </c>
      <c r="C166" s="369"/>
      <c r="D166" s="2311"/>
      <c r="E166" s="2056"/>
      <c r="F166" s="2220" t="str">
        <f>INDEX(PT_DIFFERENTIATION_VTAR,MATCH(A166,PT_DIFFERENTIATION_VTAR_ID,0))</f>
        <v>Тариф на питьевую воду (питьевое водоснабжение)</v>
      </c>
      <c r="G166" s="2266" t="str">
        <f>INDEX(PT_DIFFERENTIATION_NTAR,MATCH(B166,PT_DIFFERENTIATION_NTAR_ID,0))</f>
        <v/>
      </c>
      <c r="H166" s="1905"/>
      <c r="I166" s="1779"/>
      <c r="J166" s="1814"/>
      <c r="K166" s="1819"/>
      <c r="L166" s="1905" t="s">
        <v>297</v>
      </c>
      <c r="M166" s="337"/>
      <c r="N166" s="330"/>
      <c r="O166" s="1664"/>
      <c r="P166" s="1664"/>
    </row>
    <row s="2950" customFormat="1" customHeight="1" ht="18.75" hidden="1">
      <c r="A167" s="1821"/>
      <c r="B167" s="1821"/>
      <c r="C167" s="369" t="s">
        <v>1064</v>
      </c>
      <c r="D167" s="2311"/>
      <c r="E167" s="2056"/>
      <c r="F167" s="2220"/>
      <c r="G167" s="2266"/>
      <c r="H167" s="1530"/>
      <c r="I167" s="657" t="s">
        <v>1063</v>
      </c>
      <c r="J167" s="577"/>
      <c r="K167" s="1530"/>
      <c r="L167" s="200"/>
      <c r="M167" s="337"/>
      <c r="N167" s="330"/>
      <c r="O167" s="1664"/>
      <c r="P167" s="1664"/>
    </row>
    <row s="2950" customFormat="1" customHeight="1" ht="0.75" hidden="1">
      <c r="A168" s="1821"/>
      <c r="B168" s="1821"/>
      <c r="C168" s="369" t="s">
        <v>1071</v>
      </c>
      <c r="D168" s="2311"/>
      <c r="E168" s="2056"/>
      <c r="F168" s="2220"/>
      <c r="G168" s="406"/>
      <c r="H168" s="1530"/>
      <c r="I168" s="657"/>
      <c r="J168" s="577"/>
      <c r="K168" s="1530"/>
      <c r="L168" s="200"/>
      <c r="M168" s="337"/>
      <c r="N168" s="330"/>
      <c r="O168" s="1664"/>
      <c r="P168" s="1664"/>
    </row>
    <row s="2950" customFormat="1" customHeight="1" ht="18.75" hidden="1">
      <c r="A169" s="1821" t="s">
        <v>221</v>
      </c>
      <c r="B169" s="1821" t="s">
        <v>222</v>
      </c>
      <c r="C169" s="369"/>
      <c r="D169" s="2311"/>
      <c r="E169" s="2056"/>
      <c r="F169" s="2220" t="str">
        <f>INDEX(PT_DIFFERENTIATION_VTAR,MATCH(A169,PT_DIFFERENTIATION_VTAR_ID,0))</f>
        <v>Тариф на техническую воду</v>
      </c>
      <c r="G169" s="2266" t="str">
        <f>INDEX(PT_DIFFERENTIATION_NTAR,MATCH(B169,PT_DIFFERENTIATION_NTAR_ID,0))</f>
        <v/>
      </c>
      <c r="H169" s="1905"/>
      <c r="I169" s="1779"/>
      <c r="J169" s="1814"/>
      <c r="K169" s="1819"/>
      <c r="L169" s="1905" t="s">
        <v>297</v>
      </c>
      <c r="M169" s="337"/>
      <c r="N169" s="330"/>
      <c r="O169" s="1664"/>
      <c r="P169" s="1664"/>
    </row>
    <row s="2950" customFormat="1" customHeight="1" ht="18.75" hidden="1">
      <c r="A170" s="1821"/>
      <c r="B170" s="1821"/>
      <c r="C170" s="369" t="s">
        <v>1064</v>
      </c>
      <c r="D170" s="2311"/>
      <c r="E170" s="2056"/>
      <c r="F170" s="2220"/>
      <c r="G170" s="2266"/>
      <c r="H170" s="1530"/>
      <c r="I170" s="657" t="s">
        <v>1063</v>
      </c>
      <c r="J170" s="577"/>
      <c r="K170" s="1530"/>
      <c r="L170" s="200"/>
      <c r="M170" s="337"/>
      <c r="N170" s="330"/>
      <c r="O170" s="1664"/>
      <c r="P170" s="1664"/>
    </row>
    <row s="2950" customFormat="1" customHeight="1" ht="0.75" hidden="1">
      <c r="A171" s="1821"/>
      <c r="B171" s="1821"/>
      <c r="C171" s="369" t="s">
        <v>1071</v>
      </c>
      <c r="D171" s="2311"/>
      <c r="E171" s="2056"/>
      <c r="F171" s="2220"/>
      <c r="G171" s="406"/>
      <c r="H171" s="1530"/>
      <c r="I171" s="657"/>
      <c r="J171" s="577"/>
      <c r="K171" s="1530"/>
      <c r="L171" s="200"/>
      <c r="M171" s="337"/>
      <c r="N171" s="330"/>
      <c r="O171" s="1664"/>
      <c r="P171" s="1664"/>
    </row>
    <row s="2950" customFormat="1" customHeight="1" ht="18.75" hidden="1">
      <c r="A172" s="1821" t="s">
        <v>226</v>
      </c>
      <c r="B172" s="1821" t="s">
        <v>227</v>
      </c>
      <c r="C172" s="369"/>
      <c r="D172" s="2311"/>
      <c r="E172" s="2056"/>
      <c r="F172" s="2220" t="str">
        <f>INDEX(PT_DIFFERENTIATION_VTAR,MATCH(A172,PT_DIFFERENTIATION_VTAR_ID,0))</f>
        <v>Тариф на транспортировку воды</v>
      </c>
      <c r="G172" s="2266" t="str">
        <f>INDEX(PT_DIFFERENTIATION_NTAR,MATCH(B172,PT_DIFFERENTIATION_NTAR_ID,0))</f>
        <v/>
      </c>
      <c r="H172" s="1905"/>
      <c r="I172" s="1779"/>
      <c r="J172" s="1814"/>
      <c r="K172" s="1819"/>
      <c r="L172" s="1905" t="s">
        <v>297</v>
      </c>
      <c r="M172" s="337"/>
      <c r="N172" s="330"/>
      <c r="O172" s="1664"/>
      <c r="P172" s="1664"/>
    </row>
    <row s="2950" customFormat="1" customHeight="1" ht="18.75" hidden="1">
      <c r="A173" s="1821"/>
      <c r="B173" s="1821"/>
      <c r="C173" s="369" t="s">
        <v>1064</v>
      </c>
      <c r="D173" s="2311"/>
      <c r="E173" s="2056"/>
      <c r="F173" s="2220"/>
      <c r="G173" s="2266"/>
      <c r="H173" s="1530"/>
      <c r="I173" s="657" t="s">
        <v>1063</v>
      </c>
      <c r="J173" s="577"/>
      <c r="K173" s="1530"/>
      <c r="L173" s="200"/>
      <c r="M173" s="337"/>
      <c r="N173" s="330"/>
      <c r="O173" s="1664"/>
      <c r="P173" s="1664"/>
    </row>
    <row s="2950" customFormat="1" customHeight="1" ht="0.75" hidden="1">
      <c r="A174" s="1821"/>
      <c r="B174" s="1821"/>
      <c r="C174" s="369" t="s">
        <v>1071</v>
      </c>
      <c r="D174" s="2311"/>
      <c r="E174" s="2056"/>
      <c r="F174" s="2220"/>
      <c r="G174" s="406"/>
      <c r="H174" s="1530"/>
      <c r="I174" s="657"/>
      <c r="J174" s="577"/>
      <c r="K174" s="1530"/>
      <c r="L174" s="200"/>
      <c r="M174" s="337"/>
      <c r="N174" s="330"/>
      <c r="O174" s="1664"/>
      <c r="P174" s="1664"/>
    </row>
    <row s="2950" customFormat="1" customHeight="1" ht="18.75" hidden="1">
      <c r="A175" s="1821" t="s">
        <v>231</v>
      </c>
      <c r="B175" s="1821" t="s">
        <v>232</v>
      </c>
      <c r="C175" s="369"/>
      <c r="D175" s="2311"/>
      <c r="E175" s="2056"/>
      <c r="F175" s="2220" t="str">
        <f>INDEX(PT_DIFFERENTIATION_VTAR,MATCH(A175,PT_DIFFERENTIATION_VTAR_ID,0))</f>
        <v>Тариф на подвоз воды</v>
      </c>
      <c r="G175" s="2266" t="str">
        <f>INDEX(PT_DIFFERENTIATION_NTAR,MATCH(B175,PT_DIFFERENTIATION_NTAR_ID,0))</f>
        <v/>
      </c>
      <c r="H175" s="1905"/>
      <c r="I175" s="1779"/>
      <c r="J175" s="1814"/>
      <c r="K175" s="1819"/>
      <c r="L175" s="1905" t="s">
        <v>297</v>
      </c>
      <c r="M175" s="337"/>
      <c r="N175" s="330"/>
      <c r="O175" s="1664"/>
      <c r="P175" s="1664"/>
    </row>
    <row s="2950" customFormat="1" customHeight="1" ht="18.75" hidden="1">
      <c r="A176" s="1821"/>
      <c r="B176" s="1821"/>
      <c r="C176" s="369" t="s">
        <v>1064</v>
      </c>
      <c r="D176" s="2311"/>
      <c r="E176" s="2056"/>
      <c r="F176" s="2220"/>
      <c r="G176" s="2266"/>
      <c r="H176" s="1530"/>
      <c r="I176" s="657" t="s">
        <v>1063</v>
      </c>
      <c r="J176" s="577"/>
      <c r="K176" s="1530"/>
      <c r="L176" s="200"/>
      <c r="M176" s="337"/>
      <c r="N176" s="330"/>
      <c r="O176" s="1664"/>
      <c r="P176" s="1664"/>
    </row>
    <row s="2950" customFormat="1" customHeight="1" ht="0.75" hidden="1">
      <c r="A177" s="1821"/>
      <c r="B177" s="1821"/>
      <c r="C177" s="369" t="s">
        <v>1071</v>
      </c>
      <c r="D177" s="2311"/>
      <c r="E177" s="2056"/>
      <c r="F177" s="2220"/>
      <c r="G177" s="406"/>
      <c r="H177" s="1530"/>
      <c r="I177" s="657"/>
      <c r="J177" s="577"/>
      <c r="K177" s="1530"/>
      <c r="L177" s="200"/>
      <c r="M177" s="337"/>
      <c r="N177" s="330"/>
      <c r="O177" s="1664"/>
      <c r="P177" s="1664"/>
    </row>
    <row s="2950" customFormat="1" customHeight="1" ht="18.75" hidden="1">
      <c r="A178" s="1821" t="s">
        <v>236</v>
      </c>
      <c r="B178" s="1821" t="s">
        <v>237</v>
      </c>
      <c r="C178" s="369"/>
      <c r="D178" s="2311"/>
      <c r="E178" s="2056"/>
      <c r="F178" s="2220" t="str">
        <f>INDEX(PT_DIFFERENTIATION_VTAR,MATCH(A178,PT_DIFFERENTIATION_VTAR_ID,0))</f>
        <v>Тариф на подключение (технологическое присоединение) к централизованной системе холодного водоснабжения</v>
      </c>
      <c r="G178" s="2266" t="str">
        <f>INDEX(PT_DIFFERENTIATION_NTAR,MATCH(B178,PT_DIFFERENTIATION_NTAR_ID,0))</f>
        <v/>
      </c>
      <c r="H178" s="1905"/>
      <c r="I178" s="1779"/>
      <c r="J178" s="1814"/>
      <c r="K178" s="1819"/>
      <c r="L178" s="1905" t="s">
        <v>297</v>
      </c>
      <c r="M178" s="337"/>
      <c r="N178" s="330"/>
      <c r="O178" s="1664"/>
      <c r="P178" s="1664"/>
    </row>
    <row s="2950" customFormat="1" customHeight="1" ht="18.75" hidden="1">
      <c r="A179" s="1821"/>
      <c r="B179" s="1821"/>
      <c r="C179" s="369" t="s">
        <v>1064</v>
      </c>
      <c r="D179" s="2311"/>
      <c r="E179" s="2056"/>
      <c r="F179" s="2220"/>
      <c r="G179" s="2266"/>
      <c r="H179" s="1530"/>
      <c r="I179" s="657" t="s">
        <v>1063</v>
      </c>
      <c r="J179" s="577"/>
      <c r="K179" s="1530"/>
      <c r="L179" s="200"/>
      <c r="M179" s="337"/>
      <c r="N179" s="330"/>
      <c r="O179" s="1664"/>
      <c r="P179" s="1664"/>
    </row>
    <row s="2950" customFormat="1" customHeight="1" ht="0.75" hidden="1">
      <c r="A180" s="1821"/>
      <c r="B180" s="1821"/>
      <c r="C180" s="369" t="s">
        <v>1071</v>
      </c>
      <c r="D180" s="2311"/>
      <c r="E180" s="2056"/>
      <c r="F180" s="2220"/>
      <c r="G180" s="406"/>
      <c r="H180" s="1530"/>
      <c r="I180" s="657"/>
      <c r="J180" s="577"/>
      <c r="K180" s="1530"/>
      <c r="L180" s="200"/>
      <c r="M180" s="337"/>
      <c r="N180" s="330"/>
      <c r="O180" s="1664"/>
      <c r="P180" s="1664"/>
    </row>
    <row s="2950" customFormat="1" customHeight="1" ht="18.75" hidden="1">
      <c r="A181" s="1821" t="s">
        <v>241</v>
      </c>
      <c r="B181" s="1821" t="s">
        <v>242</v>
      </c>
      <c r="C181" s="369"/>
      <c r="D181" s="2311"/>
      <c r="E181" s="2056"/>
      <c r="F181" s="2220" t="str">
        <f>INDEX(PT_DIFFERENTIATION_VTAR,MATCH(A181,PT_DIFFERENTIATION_VTAR_ID,0))</f>
        <v>Тариф на горячую воду (горячее водоснабжение)</v>
      </c>
      <c r="G181" s="2266" t="str">
        <f>INDEX(PT_DIFFERENTIATION_NTAR,MATCH(B181,PT_DIFFERENTIATION_NTAR_ID,0))</f>
        <v/>
      </c>
      <c r="H181" s="1905"/>
      <c r="I181" s="1779"/>
      <c r="J181" s="1814"/>
      <c r="K181" s="1819"/>
      <c r="L181" s="1905" t="s">
        <v>297</v>
      </c>
      <c r="M181" s="337"/>
      <c r="N181" s="330"/>
      <c r="O181" s="1664"/>
      <c r="P181" s="1664"/>
    </row>
    <row s="2950" customFormat="1" customHeight="1" ht="18.75" hidden="1">
      <c r="A182" s="1821"/>
      <c r="B182" s="1821"/>
      <c r="C182" s="369" t="s">
        <v>1064</v>
      </c>
      <c r="D182" s="2311"/>
      <c r="E182" s="2056"/>
      <c r="F182" s="2220"/>
      <c r="G182" s="2266"/>
      <c r="H182" s="1530"/>
      <c r="I182" s="657" t="s">
        <v>1063</v>
      </c>
      <c r="J182" s="577"/>
      <c r="K182" s="1530"/>
      <c r="L182" s="200"/>
      <c r="M182" s="337"/>
      <c r="N182" s="330"/>
      <c r="O182" s="1664"/>
      <c r="P182" s="1664"/>
    </row>
    <row s="2950" customFormat="1" customHeight="1" ht="0.75" hidden="1">
      <c r="A183" s="1821"/>
      <c r="B183" s="1821"/>
      <c r="C183" s="369" t="s">
        <v>1071</v>
      </c>
      <c r="D183" s="2311"/>
      <c r="E183" s="2056"/>
      <c r="F183" s="2220"/>
      <c r="G183" s="406"/>
      <c r="H183" s="1530"/>
      <c r="I183" s="657"/>
      <c r="J183" s="577"/>
      <c r="K183" s="1530"/>
      <c r="L183" s="200"/>
      <c r="M183" s="337"/>
      <c r="N183" s="330"/>
      <c r="O183" s="1664"/>
      <c r="P183" s="1664"/>
    </row>
    <row s="2950" customFormat="1" customHeight="1" ht="18.75" hidden="1">
      <c r="A184" s="1821" t="s">
        <v>246</v>
      </c>
      <c r="B184" s="1821" t="s">
        <v>247</v>
      </c>
      <c r="C184" s="369"/>
      <c r="D184" s="2311"/>
      <c r="E184" s="2056"/>
      <c r="F184" s="2220" t="str">
        <f>INDEX(PT_DIFFERENTIATION_VTAR,MATCH(A184,PT_DIFFERENTIATION_VTAR_ID,0))</f>
        <v>Тариф на транспортировку горячей воды</v>
      </c>
      <c r="G184" s="2266" t="str">
        <f>INDEX(PT_DIFFERENTIATION_NTAR,MATCH(B184,PT_DIFFERENTIATION_NTAR_ID,0))</f>
        <v/>
      </c>
      <c r="H184" s="1905"/>
      <c r="I184" s="1779"/>
      <c r="J184" s="1814"/>
      <c r="K184" s="1819"/>
      <c r="L184" s="1905" t="s">
        <v>297</v>
      </c>
      <c r="M184" s="337"/>
      <c r="N184" s="330"/>
      <c r="O184" s="1664"/>
      <c r="P184" s="1664"/>
    </row>
    <row s="2950" customFormat="1" customHeight="1" ht="18.75" hidden="1">
      <c r="A185" s="1821"/>
      <c r="B185" s="1821"/>
      <c r="C185" s="369" t="s">
        <v>1064</v>
      </c>
      <c r="D185" s="2311"/>
      <c r="E185" s="2056"/>
      <c r="F185" s="2220"/>
      <c r="G185" s="2266"/>
      <c r="H185" s="1530"/>
      <c r="I185" s="657" t="s">
        <v>1063</v>
      </c>
      <c r="J185" s="577"/>
      <c r="K185" s="1530"/>
      <c r="L185" s="200"/>
      <c r="M185" s="337"/>
      <c r="N185" s="330"/>
      <c r="O185" s="1664"/>
      <c r="P185" s="1664"/>
    </row>
    <row s="2950" customFormat="1" customHeight="1" ht="0.75" hidden="1">
      <c r="A186" s="1821"/>
      <c r="B186" s="1821"/>
      <c r="C186" s="369" t="s">
        <v>1071</v>
      </c>
      <c r="D186" s="2311"/>
      <c r="E186" s="2056"/>
      <c r="F186" s="2220"/>
      <c r="G186" s="406"/>
      <c r="H186" s="1530"/>
      <c r="I186" s="657"/>
      <c r="J186" s="577"/>
      <c r="K186" s="1530"/>
      <c r="L186" s="200"/>
      <c r="M186" s="337"/>
      <c r="N186" s="330"/>
      <c r="O186" s="1664"/>
      <c r="P186" s="1664"/>
    </row>
    <row s="2950" customFormat="1" customHeight="1" ht="18.75" hidden="1">
      <c r="A187" s="1821" t="s">
        <v>251</v>
      </c>
      <c r="B187" s="1821" t="s">
        <v>252</v>
      </c>
      <c r="C187" s="369"/>
      <c r="D187" s="2311"/>
      <c r="E187" s="2056"/>
      <c r="F187" s="2220" t="str">
        <f>INDEX(PT_DIFFERENTIATION_VTAR,MATCH(A187,PT_DIFFERENTIATION_VTAR_ID,0))</f>
        <v>Тариф на подключение (технологическое присоединение) к централизованной системе горячего водоснабжения</v>
      </c>
      <c r="G187" s="2266" t="str">
        <f>INDEX(PT_DIFFERENTIATION_NTAR,MATCH(B187,PT_DIFFERENTIATION_NTAR_ID,0))</f>
        <v/>
      </c>
      <c r="H187" s="1905"/>
      <c r="I187" s="1779"/>
      <c r="J187" s="1814"/>
      <c r="K187" s="1819"/>
      <c r="L187" s="1905" t="s">
        <v>297</v>
      </c>
      <c r="M187" s="337"/>
      <c r="N187" s="330"/>
      <c r="O187" s="1664"/>
      <c r="P187" s="1664"/>
    </row>
    <row s="2950" customFormat="1" customHeight="1" ht="18.75" hidden="1">
      <c r="A188" s="1821"/>
      <c r="B188" s="1821"/>
      <c r="C188" s="369" t="s">
        <v>1064</v>
      </c>
      <c r="D188" s="2311"/>
      <c r="E188" s="2056"/>
      <c r="F188" s="2220"/>
      <c r="G188" s="2266"/>
      <c r="H188" s="1530"/>
      <c r="I188" s="657" t="s">
        <v>1063</v>
      </c>
      <c r="J188" s="577"/>
      <c r="K188" s="1530"/>
      <c r="L188" s="200"/>
      <c r="M188" s="337"/>
      <c r="N188" s="330"/>
      <c r="O188" s="1664"/>
      <c r="P188" s="1664"/>
    </row>
    <row s="2950" customFormat="1" customHeight="1" ht="0.75" hidden="1">
      <c r="A189" s="1821"/>
      <c r="B189" s="1821"/>
      <c r="C189" s="369" t="s">
        <v>1071</v>
      </c>
      <c r="D189" s="2311"/>
      <c r="E189" s="2056"/>
      <c r="F189" s="2220"/>
      <c r="G189" s="406"/>
      <c r="H189" s="1530"/>
      <c r="I189" s="657"/>
      <c r="J189" s="577"/>
      <c r="K189" s="1530"/>
      <c r="L189" s="200"/>
      <c r="M189" s="337"/>
      <c r="N189" s="330"/>
      <c r="O189" s="1664"/>
      <c r="P189" s="1664"/>
    </row>
    <row s="2950" customFormat="1" customHeight="1" ht="18.75" hidden="1">
      <c r="A190" s="1821" t="s">
        <v>256</v>
      </c>
      <c r="B190" s="1821" t="s">
        <v>257</v>
      </c>
      <c r="C190" s="369"/>
      <c r="D190" s="2311"/>
      <c r="E190" s="2056"/>
      <c r="F190" s="2220" t="str">
        <f>INDEX(PT_DIFFERENTIATION_VTAR,MATCH(A190,PT_DIFFERENTIATION_VTAR_ID,0))</f>
        <v>Тариф на водоотведение</v>
      </c>
      <c r="G190" s="2266" t="str">
        <f>INDEX(PT_DIFFERENTIATION_NTAR,MATCH(B190,PT_DIFFERENTIATION_NTAR_ID,0))</f>
        <v/>
      </c>
      <c r="H190" s="1905"/>
      <c r="I190" s="1779"/>
      <c r="J190" s="1814"/>
      <c r="K190" s="1819"/>
      <c r="L190" s="1905" t="s">
        <v>297</v>
      </c>
      <c r="M190" s="337"/>
      <c r="N190" s="330"/>
      <c r="O190" s="1664"/>
      <c r="P190" s="1664"/>
    </row>
    <row s="2950" customFormat="1" customHeight="1" ht="18.75" hidden="1">
      <c r="A191" s="1821"/>
      <c r="B191" s="1821"/>
      <c r="C191" s="369" t="s">
        <v>1064</v>
      </c>
      <c r="D191" s="2311"/>
      <c r="E191" s="2056"/>
      <c r="F191" s="2220"/>
      <c r="G191" s="2266"/>
      <c r="H191" s="1530"/>
      <c r="I191" s="657" t="s">
        <v>1063</v>
      </c>
      <c r="J191" s="577"/>
      <c r="K191" s="1530"/>
      <c r="L191" s="200"/>
      <c r="M191" s="337"/>
      <c r="N191" s="330"/>
      <c r="O191" s="1664"/>
      <c r="P191" s="1664"/>
    </row>
    <row s="2950" customFormat="1" customHeight="1" ht="0.75" hidden="1">
      <c r="A192" s="1821"/>
      <c r="B192" s="1821"/>
      <c r="C192" s="369" t="s">
        <v>1071</v>
      </c>
      <c r="D192" s="2311"/>
      <c r="E192" s="2056"/>
      <c r="F192" s="2220"/>
      <c r="G192" s="406"/>
      <c r="H192" s="1530"/>
      <c r="I192" s="657"/>
      <c r="J192" s="577"/>
      <c r="K192" s="1530"/>
      <c r="L192" s="200"/>
      <c r="M192" s="337"/>
      <c r="N192" s="330"/>
      <c r="O192" s="1664"/>
      <c r="P192" s="1664"/>
    </row>
    <row s="2950" customFormat="1" customHeight="1" ht="18.75" hidden="1">
      <c r="A193" s="1821" t="s">
        <v>261</v>
      </c>
      <c r="B193" s="1821" t="s">
        <v>262</v>
      </c>
      <c r="C193" s="369"/>
      <c r="D193" s="2311"/>
      <c r="E193" s="2056"/>
      <c r="F193" s="2220" t="str">
        <f>INDEX(PT_DIFFERENTIATION_VTAR,MATCH(A193,PT_DIFFERENTIATION_VTAR_ID,0))</f>
        <v>Тариф на транспортировку сточных вод</v>
      </c>
      <c r="G193" s="2266" t="str">
        <f>INDEX(PT_DIFFERENTIATION_NTAR,MATCH(B193,PT_DIFFERENTIATION_NTAR_ID,0))</f>
        <v/>
      </c>
      <c r="H193" s="1905"/>
      <c r="I193" s="1779"/>
      <c r="J193" s="1814"/>
      <c r="K193" s="1819"/>
      <c r="L193" s="1905" t="s">
        <v>297</v>
      </c>
      <c r="M193" s="337"/>
      <c r="N193" s="330"/>
      <c r="O193" s="1664"/>
      <c r="P193" s="1664"/>
    </row>
    <row s="2950" customFormat="1" customHeight="1" ht="18.75" hidden="1">
      <c r="A194" s="1821"/>
      <c r="B194" s="1821"/>
      <c r="C194" s="369" t="s">
        <v>1064</v>
      </c>
      <c r="D194" s="2311"/>
      <c r="E194" s="2056"/>
      <c r="F194" s="2220"/>
      <c r="G194" s="2266"/>
      <c r="H194" s="1530"/>
      <c r="I194" s="657" t="s">
        <v>1063</v>
      </c>
      <c r="J194" s="577"/>
      <c r="K194" s="1530"/>
      <c r="L194" s="200"/>
      <c r="M194" s="337"/>
      <c r="N194" s="330"/>
      <c r="O194" s="1664"/>
      <c r="P194" s="1664"/>
    </row>
    <row s="2950" customFormat="1" customHeight="1" ht="0.75" hidden="1">
      <c r="A195" s="1821"/>
      <c r="B195" s="1821"/>
      <c r="C195" s="369" t="s">
        <v>1071</v>
      </c>
      <c r="D195" s="2311"/>
      <c r="E195" s="2056"/>
      <c r="F195" s="2220"/>
      <c r="G195" s="406"/>
      <c r="H195" s="1530"/>
      <c r="I195" s="657"/>
      <c r="J195" s="577"/>
      <c r="K195" s="1530"/>
      <c r="L195" s="200"/>
      <c r="M195" s="337"/>
      <c r="N195" s="330"/>
      <c r="O195" s="1664"/>
      <c r="P195" s="1664"/>
    </row>
    <row s="2950" customFormat="1" customHeight="1" ht="18.75" hidden="1">
      <c r="A196" s="1821" t="s">
        <v>266</v>
      </c>
      <c r="B196" s="1821" t="s">
        <v>267</v>
      </c>
      <c r="C196" s="369"/>
      <c r="D196" s="2311"/>
      <c r="E196" s="2056"/>
      <c r="F196" s="2220" t="str">
        <f>INDEX(PT_DIFFERENTIATION_VTAR,MATCH(A196,PT_DIFFERENTIATION_VTAR_ID,0))</f>
        <v>Тариф на подключение (технологическое присоединение) к централизованной системе водоотведения</v>
      </c>
      <c r="G196" s="2266" t="str">
        <f>INDEX(PT_DIFFERENTIATION_NTAR,MATCH(B196,PT_DIFFERENTIATION_NTAR_ID,0))</f>
        <v/>
      </c>
      <c r="H196" s="1905"/>
      <c r="I196" s="1779"/>
      <c r="J196" s="1814"/>
      <c r="K196" s="1819"/>
      <c r="L196" s="1905" t="s">
        <v>297</v>
      </c>
      <c r="M196" s="337"/>
      <c r="N196" s="330"/>
      <c r="O196" s="1664"/>
      <c r="P196" s="1664"/>
    </row>
    <row s="2950" customFormat="1" customHeight="1" ht="18.75" hidden="1">
      <c r="A197" s="1821"/>
      <c r="B197" s="1821"/>
      <c r="C197" s="369" t="s">
        <v>1064</v>
      </c>
      <c r="D197" s="2311"/>
      <c r="E197" s="2056"/>
      <c r="F197" s="2220"/>
      <c r="G197" s="2266"/>
      <c r="H197" s="1530"/>
      <c r="I197" s="657" t="s">
        <v>1063</v>
      </c>
      <c r="J197" s="577"/>
      <c r="K197" s="1530"/>
      <c r="L197" s="200"/>
      <c r="M197" s="337"/>
      <c r="N197" s="330"/>
      <c r="O197" s="1664"/>
      <c r="P197" s="1664"/>
    </row>
    <row s="2950" customFormat="1" customHeight="1" ht="0.75">
      <c r="A198" s="1821"/>
      <c r="B198" s="1821"/>
      <c r="C198" s="369" t="s">
        <v>1071</v>
      </c>
      <c r="D198" s="2311"/>
      <c r="E198" s="2056"/>
      <c r="F198" s="2220"/>
      <c r="G198" s="406"/>
      <c r="H198" s="1530"/>
      <c r="I198" s="657"/>
      <c r="J198" s="577"/>
      <c r="K198" s="1530"/>
      <c r="L198" s="200"/>
      <c r="M198" s="337"/>
      <c r="N198" s="330"/>
      <c r="O198" s="1664"/>
      <c r="P198" s="1664"/>
    </row>
    <row customHeight="1" ht="26.25">
      <c r="A199" s="1821"/>
      <c r="B199" s="1821"/>
      <c r="D199" s="377"/>
      <c r="E199" s="133" t="s">
        <v>110</v>
      </c>
      <c r="F199" s="230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199" s="2303"/>
      <c r="H199" s="2303"/>
      <c r="I199" s="2303"/>
      <c r="J199" s="2303"/>
      <c r="K199" s="2303"/>
      <c r="L199" s="2303"/>
      <c r="M199" s="285"/>
      <c r="N199" s="330"/>
    </row>
    <row s="2950" customFormat="1" customHeight="1" ht="60.75" hidden="1">
      <c r="A200" s="1821" t="s">
        <v>154</v>
      </c>
      <c r="B200" s="1821" t="s">
        <v>155</v>
      </c>
      <c r="C200" s="369"/>
      <c r="D200" s="2311"/>
      <c r="E200" s="2056"/>
      <c r="F200" s="2220" t="str">
        <f>INDEX(PT_DIFFERENTIATION_VTAR,MATCH(A200,PT_DIFFERENTIATION_VTAR_ID,0))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0" s="2266" t="str">
        <f>INDEX(PT_DIFFERENTIATION_NTAR,MATCH(B200,PT_DIFFERENTIATION_NTAR_ID,0))</f>
        <v/>
      </c>
      <c r="H200" s="1905"/>
      <c r="I200" s="1779"/>
      <c r="J200" s="1814"/>
      <c r="K200" s="1819"/>
      <c r="L200" s="1905" t="s">
        <v>297</v>
      </c>
      <c r="M200"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0" s="330"/>
      <c r="O200" s="1664"/>
      <c r="P200" s="1664"/>
    </row>
    <row s="2950" customFormat="1" customHeight="1" ht="18.75" hidden="1">
      <c r="A201" s="1821"/>
      <c r="B201" s="1821"/>
      <c r="C201" s="369" t="s">
        <v>1064</v>
      </c>
      <c r="D201" s="2311"/>
      <c r="E201" s="2056"/>
      <c r="F201" s="2220"/>
      <c r="G201" s="2266"/>
      <c r="H201" s="1530"/>
      <c r="I201" s="657" t="s">
        <v>1063</v>
      </c>
      <c r="J201" s="577"/>
      <c r="K201" s="1530"/>
      <c r="L201" s="200"/>
      <c r="M201" s="2016"/>
      <c r="N201" s="330"/>
      <c r="O201" s="1664"/>
      <c r="P201" s="1664"/>
    </row>
    <row s="2950" customFormat="1" customHeight="1" ht="0.75" hidden="1">
      <c r="A202" s="1821"/>
      <c r="B202" s="1821"/>
      <c r="C202" s="369" t="s">
        <v>1071</v>
      </c>
      <c r="D202" s="2311"/>
      <c r="E202" s="2056"/>
      <c r="F202" s="2220"/>
      <c r="G202" s="406"/>
      <c r="H202" s="1530"/>
      <c r="I202" s="657"/>
      <c r="J202" s="577"/>
      <c r="K202" s="1530"/>
      <c r="L202" s="200"/>
      <c r="M202" s="2016"/>
      <c r="N202" s="330"/>
      <c r="O202" s="1664"/>
      <c r="P202" s="1664"/>
    </row>
    <row s="2950" customFormat="1" customHeight="1" ht="45" hidden="1">
      <c r="A203" s="1821" t="s">
        <v>162</v>
      </c>
      <c r="B203" s="1821" t="s">
        <v>163</v>
      </c>
      <c r="C203" s="369"/>
      <c r="D203" s="2311"/>
      <c r="E203" s="2056"/>
      <c r="F203" s="2220" t="str">
        <f>INDEX(PT_DIFFERENTIATION_VTAR,MATCH(A203,PT_DIFFERENTIATION_VTAR_ID,0))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03" s="2266" t="str">
        <f>INDEX(PT_DIFFERENTIATION_NTAR,MATCH(B203,PT_DIFFERENTIATION_NTAR_ID,0))</f>
        <v>Тариф на тепловую энергию</v>
      </c>
      <c r="H203" s="1905"/>
      <c r="I203" s="1779"/>
      <c r="J203" s="1814"/>
      <c r="K203" s="1819"/>
      <c r="L203" s="1905" t="s">
        <v>297</v>
      </c>
      <c r="M203" s="2017"/>
      <c r="N203" s="330"/>
      <c r="O203" s="1664"/>
      <c r="P203" s="1664"/>
    </row>
    <row s="2950" customFormat="1" customHeight="1" ht="18.75" hidden="1">
      <c r="A204" s="1821"/>
      <c r="B204" s="1821"/>
      <c r="C204" s="369" t="s">
        <v>1064</v>
      </c>
      <c r="D204" s="2311"/>
      <c r="E204" s="2056"/>
      <c r="F204" s="2220"/>
      <c r="G204" s="2266"/>
      <c r="H204" s="1530"/>
      <c r="I204" s="657" t="s">
        <v>1063</v>
      </c>
      <c r="J204" s="577"/>
      <c r="K204" s="1530"/>
      <c r="L204" s="200"/>
      <c r="M204" s="1904"/>
      <c r="N204" s="330"/>
      <c r="O204" s="1664"/>
      <c r="P204" s="1664"/>
    </row>
    <row s="2950" customFormat="1" customHeight="1" ht="0.75" hidden="1">
      <c r="A205" s="1821"/>
      <c r="B205" s="1821"/>
      <c r="C205" s="369" t="s">
        <v>1071</v>
      </c>
      <c r="D205" s="2311"/>
      <c r="E205" s="2056"/>
      <c r="F205" s="2220"/>
      <c r="G205" s="406"/>
      <c r="H205" s="1530"/>
      <c r="I205" s="657"/>
      <c r="J205" s="577"/>
      <c r="K205" s="1530"/>
      <c r="L205" s="200"/>
      <c r="M205" s="337"/>
      <c r="N205" s="330"/>
      <c r="O205" s="1664"/>
      <c r="P205" s="1664"/>
    </row>
    <row s="2950" customFormat="1" customHeight="1" ht="45" hidden="1">
      <c r="A206" s="1821" t="s">
        <v>172</v>
      </c>
      <c r="B206" s="1821" t="s">
        <v>173</v>
      </c>
      <c r="C206" s="369"/>
      <c r="D206" s="2311"/>
      <c r="E206" s="2056"/>
      <c r="F206" s="2220" t="str">
        <f>INDEX(PT_DIFFERENTIATION_VTAR,MATCH(A206,PT_DIFFERENTIATION_VTAR_ID,0))</f>
        <v>Тарифы на теплоноситель, поставляемый теплоснабжающими организациями потребителям, другим теплоснабжающим организациям</v>
      </c>
      <c r="G206" s="2266" t="str">
        <f>INDEX(PT_DIFFERENTIATION_NTAR,MATCH(B206,PT_DIFFERENTIATION_NTAR_ID,0))</f>
        <v/>
      </c>
      <c r="H206" s="1905"/>
      <c r="I206" s="1779"/>
      <c r="J206" s="1814"/>
      <c r="K206" s="1819"/>
      <c r="L206" s="1905" t="s">
        <v>297</v>
      </c>
      <c r="M206" s="337"/>
      <c r="N206" s="330"/>
      <c r="O206" s="1664"/>
      <c r="P206" s="1664"/>
    </row>
    <row s="2950" customFormat="1" customHeight="1" ht="18.75" hidden="1">
      <c r="A207" s="1821"/>
      <c r="B207" s="1821"/>
      <c r="C207" s="369" t="s">
        <v>1064</v>
      </c>
      <c r="D207" s="2311"/>
      <c r="E207" s="2056"/>
      <c r="F207" s="2220"/>
      <c r="G207" s="2266"/>
      <c r="H207" s="1530"/>
      <c r="I207" s="657" t="s">
        <v>1063</v>
      </c>
      <c r="J207" s="577"/>
      <c r="K207" s="1530"/>
      <c r="L207" s="200"/>
      <c r="M207" s="337"/>
      <c r="N207" s="330"/>
      <c r="O207" s="1664"/>
      <c r="P207" s="1664"/>
    </row>
    <row s="2950" customFormat="1" customHeight="1" ht="0.75" hidden="1">
      <c r="A208" s="1821"/>
      <c r="B208" s="1821"/>
      <c r="C208" s="369" t="s">
        <v>1071</v>
      </c>
      <c r="D208" s="2311"/>
      <c r="E208" s="2056"/>
      <c r="F208" s="2220"/>
      <c r="G208" s="406"/>
      <c r="H208" s="1530"/>
      <c r="I208" s="657"/>
      <c r="J208" s="577"/>
      <c r="K208" s="1530"/>
      <c r="L208" s="200"/>
      <c r="M208" s="337"/>
      <c r="N208" s="330"/>
      <c r="O208" s="1664"/>
      <c r="P208" s="1664"/>
    </row>
    <row s="2950" customFormat="1" customHeight="1" ht="45" hidden="1">
      <c r="A209" s="1821" t="s">
        <v>178</v>
      </c>
      <c r="B209" s="1821" t="s">
        <v>179</v>
      </c>
      <c r="C209" s="369"/>
      <c r="D209" s="2311"/>
      <c r="E209" s="2056"/>
      <c r="F209" s="2220" t="str">
        <f>INDEX(PT_DIFFERENTIATION_VTAR,MATCH(A209,PT_DIFFERENTIATION_VTAR_ID,0))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09" s="2266" t="str">
        <f>INDEX(PT_DIFFERENTIATION_NTAR,MATCH(B209,PT_DIFFERENTIATION_NTAR_ID,0))</f>
        <v/>
      </c>
      <c r="H209" s="1905"/>
      <c r="I209" s="1779"/>
      <c r="J209" s="1814"/>
      <c r="K209" s="1819"/>
      <c r="L209" s="1905" t="s">
        <v>297</v>
      </c>
      <c r="M209" s="337"/>
      <c r="N209" s="330"/>
      <c r="O209" s="1664"/>
      <c r="P209" s="1664"/>
    </row>
    <row s="2950" customFormat="1" customHeight="1" ht="18.75" hidden="1">
      <c r="A210" s="1821"/>
      <c r="B210" s="1821"/>
      <c r="C210" s="369" t="s">
        <v>1064</v>
      </c>
      <c r="D210" s="2311"/>
      <c r="E210" s="2056"/>
      <c r="F210" s="2220"/>
      <c r="G210" s="2266"/>
      <c r="H210" s="1530"/>
      <c r="I210" s="657" t="s">
        <v>1063</v>
      </c>
      <c r="J210" s="577"/>
      <c r="K210" s="1530"/>
      <c r="L210" s="200"/>
      <c r="M210" s="337"/>
      <c r="N210" s="330"/>
      <c r="O210" s="1664"/>
      <c r="P210" s="1664"/>
    </row>
    <row s="2950" customFormat="1" customHeight="1" ht="0.75" hidden="1">
      <c r="A211" s="1821"/>
      <c r="B211" s="1821"/>
      <c r="C211" s="369" t="s">
        <v>1071</v>
      </c>
      <c r="D211" s="2311"/>
      <c r="E211" s="2056"/>
      <c r="F211" s="2220"/>
      <c r="G211" s="406"/>
      <c r="H211" s="1530"/>
      <c r="I211" s="657"/>
      <c r="J211" s="577"/>
      <c r="K211" s="1530"/>
      <c r="L211" s="200"/>
      <c r="M211" s="337"/>
      <c r="N211" s="330"/>
      <c r="O211" s="1664"/>
      <c r="P211" s="1664"/>
    </row>
    <row s="2950" customFormat="1" customHeight="1" ht="18.75" hidden="1">
      <c r="A212" s="1821" t="s">
        <v>184</v>
      </c>
      <c r="B212" s="1821" t="s">
        <v>185</v>
      </c>
      <c r="C212" s="369"/>
      <c r="D212" s="2311"/>
      <c r="E212" s="2056"/>
      <c r="F212" s="2220" t="str">
        <f>INDEX(PT_DIFFERENTIATION_VTAR,MATCH(A212,PT_DIFFERENTIATION_VTAR_ID,0))</f>
        <v>Тарифы на услуги по передаче тепловой энергии</v>
      </c>
      <c r="G212" s="2266" t="str">
        <f>INDEX(PT_DIFFERENTIATION_NTAR,MATCH(B212,PT_DIFFERENTIATION_NTAR_ID,0))</f>
        <v/>
      </c>
      <c r="H212" s="1905"/>
      <c r="I212" s="1779"/>
      <c r="J212" s="1814"/>
      <c r="K212" s="1819"/>
      <c r="L212" s="1905" t="s">
        <v>297</v>
      </c>
      <c r="M212" s="337"/>
      <c r="N212" s="330"/>
      <c r="O212" s="1664"/>
      <c r="P212" s="1664"/>
    </row>
    <row s="2950" customFormat="1" customHeight="1" ht="18.75" hidden="1">
      <c r="A213" s="1821"/>
      <c r="B213" s="1821"/>
      <c r="C213" s="369" t="s">
        <v>1064</v>
      </c>
      <c r="D213" s="2311"/>
      <c r="E213" s="2056"/>
      <c r="F213" s="2220"/>
      <c r="G213" s="2266"/>
      <c r="H213" s="1530"/>
      <c r="I213" s="657" t="s">
        <v>1063</v>
      </c>
      <c r="J213" s="577"/>
      <c r="K213" s="1530"/>
      <c r="L213" s="200"/>
      <c r="M213" s="337"/>
      <c r="N213" s="330"/>
      <c r="O213" s="1664"/>
      <c r="P213" s="1664"/>
    </row>
    <row s="2950" customFormat="1" customHeight="1" ht="0.75" hidden="1">
      <c r="A214" s="1821"/>
      <c r="B214" s="1821"/>
      <c r="C214" s="369" t="s">
        <v>1071</v>
      </c>
      <c r="D214" s="2311"/>
      <c r="E214" s="2056"/>
      <c r="F214" s="2220"/>
      <c r="G214" s="406"/>
      <c r="H214" s="1530"/>
      <c r="I214" s="657"/>
      <c r="J214" s="577"/>
      <c r="K214" s="1530"/>
      <c r="L214" s="200"/>
      <c r="M214" s="337"/>
      <c r="N214" s="330"/>
      <c r="O214" s="1664"/>
      <c r="P214" s="1664"/>
    </row>
    <row s="2950" customFormat="1" customHeight="1" ht="18.75" hidden="1">
      <c r="A215" s="1821" t="s">
        <v>190</v>
      </c>
      <c r="B215" s="1821" t="s">
        <v>191</v>
      </c>
      <c r="C215" s="369"/>
      <c r="D215" s="2311"/>
      <c r="E215" s="2056"/>
      <c r="F215" s="2220" t="str">
        <f>INDEX(PT_DIFFERENTIATION_VTAR,MATCH(A215,PT_DIFFERENTIATION_VTAR_ID,0))</f>
        <v>Тарифы на услуги по передаче теплоносителя</v>
      </c>
      <c r="G215" s="2266" t="str">
        <f>INDEX(PT_DIFFERENTIATION_NTAR,MATCH(B215,PT_DIFFERENTIATION_NTAR_ID,0))</f>
        <v/>
      </c>
      <c r="H215" s="1905"/>
      <c r="I215" s="1779"/>
      <c r="J215" s="1814"/>
      <c r="K215" s="1819"/>
      <c r="L215" s="1905" t="s">
        <v>297</v>
      </c>
      <c r="M215" s="337"/>
      <c r="N215" s="330"/>
      <c r="O215" s="1664"/>
      <c r="P215" s="1664"/>
    </row>
    <row s="2950" customFormat="1" customHeight="1" ht="18.75" hidden="1">
      <c r="A216" s="1821"/>
      <c r="B216" s="1821"/>
      <c r="C216" s="369" t="s">
        <v>1064</v>
      </c>
      <c r="D216" s="2311"/>
      <c r="E216" s="2056"/>
      <c r="F216" s="2220"/>
      <c r="G216" s="2266"/>
      <c r="H216" s="1530"/>
      <c r="I216" s="657" t="s">
        <v>1063</v>
      </c>
      <c r="J216" s="577"/>
      <c r="K216" s="1530"/>
      <c r="L216" s="200"/>
      <c r="M216" s="337"/>
      <c r="N216" s="330"/>
      <c r="O216" s="1664"/>
      <c r="P216" s="1664"/>
    </row>
    <row s="2950" customFormat="1" customHeight="1" ht="0.75" hidden="1">
      <c r="A217" s="1821"/>
      <c r="B217" s="1821"/>
      <c r="C217" s="369" t="s">
        <v>1071</v>
      </c>
      <c r="D217" s="2311"/>
      <c r="E217" s="2056"/>
      <c r="F217" s="2220"/>
      <c r="G217" s="406"/>
      <c r="H217" s="1530"/>
      <c r="I217" s="657"/>
      <c r="J217" s="577"/>
      <c r="K217" s="1530"/>
      <c r="L217" s="200"/>
      <c r="M217" s="337"/>
      <c r="N217" s="330"/>
      <c r="O217" s="1664"/>
      <c r="P217" s="1664"/>
    </row>
    <row s="2950" customFormat="1" customHeight="1" ht="18.75" hidden="1">
      <c r="A218" s="1821" t="s">
        <v>196</v>
      </c>
      <c r="B218" s="1821" t="s">
        <v>197</v>
      </c>
      <c r="C218" s="369"/>
      <c r="D218" s="2311"/>
      <c r="E218" s="2056"/>
      <c r="F218" s="2220" t="str">
        <f>INDEX(PT_DIFFERENTIATION_VTAR,MATCH(A218,PT_DIFFERENTIATION_VTAR_ID,0))</f>
        <v>Плата за услуги по поддержанию резервной тепловой мощности при отсутствии потребления тепловой энергии</v>
      </c>
      <c r="G218" s="2266" t="str">
        <f>INDEX(PT_DIFFERENTIATION_NTAR,MATCH(B218,PT_DIFFERENTIATION_NTAR_ID,0))</f>
        <v/>
      </c>
      <c r="H218" s="1905"/>
      <c r="I218" s="1779"/>
      <c r="J218" s="1814"/>
      <c r="K218" s="1819"/>
      <c r="L218" s="1905" t="s">
        <v>297</v>
      </c>
      <c r="M218" s="337"/>
      <c r="N218" s="330"/>
      <c r="O218" s="1664"/>
      <c r="P218" s="1664"/>
    </row>
    <row s="2950" customFormat="1" customHeight="1" ht="18.75" hidden="1">
      <c r="A219" s="1821"/>
      <c r="B219" s="1821"/>
      <c r="C219" s="369" t="s">
        <v>1064</v>
      </c>
      <c r="D219" s="2311"/>
      <c r="E219" s="2056"/>
      <c r="F219" s="2220"/>
      <c r="G219" s="2266"/>
      <c r="H219" s="1530"/>
      <c r="I219" s="657" t="s">
        <v>1063</v>
      </c>
      <c r="J219" s="577"/>
      <c r="K219" s="1530"/>
      <c r="L219" s="200"/>
      <c r="M219" s="337"/>
      <c r="N219" s="330"/>
      <c r="O219" s="1664"/>
      <c r="P219" s="1664"/>
    </row>
    <row s="2950" customFormat="1" customHeight="1" ht="0.75" hidden="1">
      <c r="A220" s="1821"/>
      <c r="B220" s="1821"/>
      <c r="C220" s="369" t="s">
        <v>1071</v>
      </c>
      <c r="D220" s="2311"/>
      <c r="E220" s="2056"/>
      <c r="F220" s="2220"/>
      <c r="G220" s="406"/>
      <c r="H220" s="1530"/>
      <c r="I220" s="657"/>
      <c r="J220" s="577"/>
      <c r="K220" s="1530"/>
      <c r="L220" s="200"/>
      <c r="M220" s="337"/>
      <c r="N220" s="330"/>
      <c r="O220" s="1664"/>
      <c r="P220" s="1664"/>
    </row>
    <row s="2950" customFormat="1" customHeight="1" ht="18.75" hidden="1">
      <c r="A221" s="1821" t="s">
        <v>202</v>
      </c>
      <c r="B221" s="1821" t="s">
        <v>203</v>
      </c>
      <c r="C221" s="369"/>
      <c r="D221" s="2311"/>
      <c r="E221" s="2056"/>
      <c r="F221" s="2220" t="str">
        <f>INDEX(PT_DIFFERENTIATION_VTAR,MATCH(A221,PT_DIFFERENTIATION_VTAR_ID,0))</f>
        <v>Плата за подключение (технологическое присоединение) к системе теплоснабжения</v>
      </c>
      <c r="G221" s="2266" t="str">
        <f>INDEX(PT_DIFFERENTIATION_NTAR,MATCH(B221,PT_DIFFERENTIATION_NTAR_ID,0))</f>
        <v/>
      </c>
      <c r="H221" s="1905"/>
      <c r="I221" s="1779"/>
      <c r="J221" s="1814"/>
      <c r="K221" s="1819"/>
      <c r="L221" s="1905" t="s">
        <v>297</v>
      </c>
      <c r="M221" s="337"/>
      <c r="N221" s="330"/>
      <c r="O221" s="1664"/>
      <c r="P221" s="1664"/>
    </row>
    <row s="2950" customFormat="1" customHeight="1" ht="18.75" hidden="1">
      <c r="A222" s="1821"/>
      <c r="B222" s="1821"/>
      <c r="C222" s="369" t="s">
        <v>1064</v>
      </c>
      <c r="D222" s="2311"/>
      <c r="E222" s="2056"/>
      <c r="F222" s="2220"/>
      <c r="G222" s="2266"/>
      <c r="H222" s="1530"/>
      <c r="I222" s="657" t="s">
        <v>1063</v>
      </c>
      <c r="J222" s="577"/>
      <c r="K222" s="1530"/>
      <c r="L222" s="200"/>
      <c r="M222" s="337"/>
      <c r="N222" s="330"/>
      <c r="O222" s="1664"/>
      <c r="P222" s="1664"/>
    </row>
    <row s="2950" customFormat="1" customHeight="1" ht="0.75" hidden="1">
      <c r="A223" s="1821"/>
      <c r="B223" s="1821"/>
      <c r="C223" s="369" t="s">
        <v>1071</v>
      </c>
      <c r="D223" s="2311"/>
      <c r="E223" s="2056"/>
      <c r="F223" s="2220"/>
      <c r="G223" s="406"/>
      <c r="H223" s="1530"/>
      <c r="I223" s="657"/>
      <c r="J223" s="577"/>
      <c r="K223" s="1530"/>
      <c r="L223" s="200"/>
      <c r="M223" s="337"/>
      <c r="N223" s="330"/>
      <c r="O223" s="1664"/>
      <c r="P223" s="1664"/>
    </row>
    <row s="2950" customFormat="1" customHeight="1" ht="18.75" hidden="1">
      <c r="A224" s="1821" t="s">
        <v>216</v>
      </c>
      <c r="B224" s="1821" t="s">
        <v>217</v>
      </c>
      <c r="C224" s="369"/>
      <c r="D224" s="2311"/>
      <c r="E224" s="2056"/>
      <c r="F224" s="2220" t="str">
        <f>INDEX(PT_DIFFERENTIATION_VTAR,MATCH(A224,PT_DIFFERENTIATION_VTAR_ID,0))</f>
        <v>Тариф на питьевую воду (питьевое водоснабжение)</v>
      </c>
      <c r="G224" s="2266" t="str">
        <f>INDEX(PT_DIFFERENTIATION_NTAR,MATCH(B224,PT_DIFFERENTIATION_NTAR_ID,0))</f>
        <v/>
      </c>
      <c r="H224" s="1905"/>
      <c r="I224" s="1779"/>
      <c r="J224" s="1814"/>
      <c r="K224" s="1819"/>
      <c r="L224" s="1905" t="s">
        <v>297</v>
      </c>
      <c r="M224" s="337"/>
      <c r="N224" s="330"/>
      <c r="O224" s="1664"/>
      <c r="P224" s="1664"/>
    </row>
    <row s="2950" customFormat="1" customHeight="1" ht="18.75" hidden="1">
      <c r="A225" s="1821"/>
      <c r="B225" s="1821"/>
      <c r="C225" s="369" t="s">
        <v>1064</v>
      </c>
      <c r="D225" s="2311"/>
      <c r="E225" s="2056"/>
      <c r="F225" s="2220"/>
      <c r="G225" s="2266"/>
      <c r="H225" s="1530"/>
      <c r="I225" s="657" t="s">
        <v>1063</v>
      </c>
      <c r="J225" s="577"/>
      <c r="K225" s="1530"/>
      <c r="L225" s="200"/>
      <c r="M225" s="337"/>
      <c r="N225" s="330"/>
      <c r="O225" s="1664"/>
      <c r="P225" s="1664"/>
    </row>
    <row s="2950" customFormat="1" customHeight="1" ht="0.75" hidden="1">
      <c r="A226" s="1821"/>
      <c r="B226" s="1821"/>
      <c r="C226" s="369" t="s">
        <v>1071</v>
      </c>
      <c r="D226" s="2311"/>
      <c r="E226" s="2056"/>
      <c r="F226" s="2220"/>
      <c r="G226" s="406"/>
      <c r="H226" s="1530"/>
      <c r="I226" s="657"/>
      <c r="J226" s="577"/>
      <c r="K226" s="1530"/>
      <c r="L226" s="200"/>
      <c r="M226" s="337"/>
      <c r="N226" s="330"/>
      <c r="O226" s="1664"/>
      <c r="P226" s="1664"/>
    </row>
    <row s="2950" customFormat="1" customHeight="1" ht="18.75" hidden="1">
      <c r="A227" s="1821" t="s">
        <v>221</v>
      </c>
      <c r="B227" s="1821" t="s">
        <v>222</v>
      </c>
      <c r="C227" s="369"/>
      <c r="D227" s="2311"/>
      <c r="E227" s="2056"/>
      <c r="F227" s="2220" t="str">
        <f>INDEX(PT_DIFFERENTIATION_VTAR,MATCH(A227,PT_DIFFERENTIATION_VTAR_ID,0))</f>
        <v>Тариф на техническую воду</v>
      </c>
      <c r="G227" s="2266" t="str">
        <f>INDEX(PT_DIFFERENTIATION_NTAR,MATCH(B227,PT_DIFFERENTIATION_NTAR_ID,0))</f>
        <v/>
      </c>
      <c r="H227" s="1905"/>
      <c r="I227" s="1779"/>
      <c r="J227" s="1814"/>
      <c r="K227" s="1819"/>
      <c r="L227" s="1905" t="s">
        <v>297</v>
      </c>
      <c r="M227" s="337"/>
      <c r="N227" s="330"/>
      <c r="O227" s="1664"/>
      <c r="P227" s="1664"/>
    </row>
    <row s="2950" customFormat="1" customHeight="1" ht="18.75" hidden="1">
      <c r="A228" s="1821"/>
      <c r="B228" s="1821"/>
      <c r="C228" s="369" t="s">
        <v>1064</v>
      </c>
      <c r="D228" s="2311"/>
      <c r="E228" s="2056"/>
      <c r="F228" s="2220"/>
      <c r="G228" s="2266"/>
      <c r="H228" s="1530"/>
      <c r="I228" s="657" t="s">
        <v>1063</v>
      </c>
      <c r="J228" s="577"/>
      <c r="K228" s="1530"/>
      <c r="L228" s="200"/>
      <c r="M228" s="337"/>
      <c r="N228" s="330"/>
      <c r="O228" s="1664"/>
      <c r="P228" s="1664"/>
    </row>
    <row s="2950" customFormat="1" customHeight="1" ht="0.75" hidden="1">
      <c r="A229" s="1821"/>
      <c r="B229" s="1821"/>
      <c r="C229" s="369" t="s">
        <v>1071</v>
      </c>
      <c r="D229" s="2311"/>
      <c r="E229" s="2056"/>
      <c r="F229" s="2220"/>
      <c r="G229" s="406"/>
      <c r="H229" s="1530"/>
      <c r="I229" s="657"/>
      <c r="J229" s="577"/>
      <c r="K229" s="1530"/>
      <c r="L229" s="200"/>
      <c r="M229" s="337"/>
      <c r="N229" s="330"/>
      <c r="O229" s="1664"/>
      <c r="P229" s="1664"/>
    </row>
    <row s="2950" customFormat="1" customHeight="1" ht="18.75" hidden="1">
      <c r="A230" s="1821" t="s">
        <v>226</v>
      </c>
      <c r="B230" s="1821" t="s">
        <v>227</v>
      </c>
      <c r="C230" s="369"/>
      <c r="D230" s="2311"/>
      <c r="E230" s="2056"/>
      <c r="F230" s="2220" t="str">
        <f>INDEX(PT_DIFFERENTIATION_VTAR,MATCH(A230,PT_DIFFERENTIATION_VTAR_ID,0))</f>
        <v>Тариф на транспортировку воды</v>
      </c>
      <c r="G230" s="2266" t="str">
        <f>INDEX(PT_DIFFERENTIATION_NTAR,MATCH(B230,PT_DIFFERENTIATION_NTAR_ID,0))</f>
        <v/>
      </c>
      <c r="H230" s="1905"/>
      <c r="I230" s="1779"/>
      <c r="J230" s="1814"/>
      <c r="K230" s="1819"/>
      <c r="L230" s="1905" t="s">
        <v>297</v>
      </c>
      <c r="M230" s="337"/>
      <c r="N230" s="330"/>
      <c r="O230" s="1664"/>
      <c r="P230" s="1664"/>
    </row>
    <row s="2950" customFormat="1" customHeight="1" ht="18.75" hidden="1">
      <c r="A231" s="1821"/>
      <c r="B231" s="1821"/>
      <c r="C231" s="369" t="s">
        <v>1064</v>
      </c>
      <c r="D231" s="2311"/>
      <c r="E231" s="2056"/>
      <c r="F231" s="2220"/>
      <c r="G231" s="2266"/>
      <c r="H231" s="1530"/>
      <c r="I231" s="657" t="s">
        <v>1063</v>
      </c>
      <c r="J231" s="577"/>
      <c r="K231" s="1530"/>
      <c r="L231" s="200"/>
      <c r="M231" s="337"/>
      <c r="N231" s="330"/>
      <c r="O231" s="1664"/>
      <c r="P231" s="1664"/>
    </row>
    <row s="2950" customFormat="1" customHeight="1" ht="0.75" hidden="1">
      <c r="A232" s="1821"/>
      <c r="B232" s="1821"/>
      <c r="C232" s="369" t="s">
        <v>1071</v>
      </c>
      <c r="D232" s="2311"/>
      <c r="E232" s="2056"/>
      <c r="F232" s="2220"/>
      <c r="G232" s="406"/>
      <c r="H232" s="1530"/>
      <c r="I232" s="657"/>
      <c r="J232" s="577"/>
      <c r="K232" s="1530"/>
      <c r="L232" s="200"/>
      <c r="M232" s="337"/>
      <c r="N232" s="330"/>
      <c r="O232" s="1664"/>
      <c r="P232" s="1664"/>
    </row>
    <row s="2950" customFormat="1" customHeight="1" ht="18.75" hidden="1">
      <c r="A233" s="1821" t="s">
        <v>231</v>
      </c>
      <c r="B233" s="1821" t="s">
        <v>232</v>
      </c>
      <c r="C233" s="369"/>
      <c r="D233" s="2311"/>
      <c r="E233" s="2056"/>
      <c r="F233" s="2220" t="str">
        <f>INDEX(PT_DIFFERENTIATION_VTAR,MATCH(A233,PT_DIFFERENTIATION_VTAR_ID,0))</f>
        <v>Тариф на подвоз воды</v>
      </c>
      <c r="G233" s="2266" t="str">
        <f>INDEX(PT_DIFFERENTIATION_NTAR,MATCH(B233,PT_DIFFERENTIATION_NTAR_ID,0))</f>
        <v/>
      </c>
      <c r="H233" s="1905"/>
      <c r="I233" s="1779"/>
      <c r="J233" s="1814"/>
      <c r="K233" s="1819"/>
      <c r="L233" s="1905" t="s">
        <v>297</v>
      </c>
      <c r="M233" s="337"/>
      <c r="N233" s="330"/>
      <c r="O233" s="1664"/>
      <c r="P233" s="1664"/>
    </row>
    <row s="2950" customFormat="1" customHeight="1" ht="18.75" hidden="1">
      <c r="A234" s="1821"/>
      <c r="B234" s="1821"/>
      <c r="C234" s="369" t="s">
        <v>1064</v>
      </c>
      <c r="D234" s="2311"/>
      <c r="E234" s="2056"/>
      <c r="F234" s="2220"/>
      <c r="G234" s="2266"/>
      <c r="H234" s="1530"/>
      <c r="I234" s="657" t="s">
        <v>1063</v>
      </c>
      <c r="J234" s="577"/>
      <c r="K234" s="1530"/>
      <c r="L234" s="200"/>
      <c r="M234" s="337"/>
      <c r="N234" s="330"/>
      <c r="O234" s="1664"/>
      <c r="P234" s="1664"/>
    </row>
    <row s="2950" customFormat="1" customHeight="1" ht="0.75" hidden="1">
      <c r="A235" s="1821"/>
      <c r="B235" s="1821"/>
      <c r="C235" s="369" t="s">
        <v>1071</v>
      </c>
      <c r="D235" s="2311"/>
      <c r="E235" s="2056"/>
      <c r="F235" s="2220"/>
      <c r="G235" s="406"/>
      <c r="H235" s="1530"/>
      <c r="I235" s="657"/>
      <c r="J235" s="577"/>
      <c r="K235" s="1530"/>
      <c r="L235" s="200"/>
      <c r="M235" s="337"/>
      <c r="N235" s="330"/>
      <c r="O235" s="1664"/>
      <c r="P235" s="1664"/>
    </row>
    <row s="2950" customFormat="1" customHeight="1" ht="18.75" hidden="1">
      <c r="A236" s="1821" t="s">
        <v>236</v>
      </c>
      <c r="B236" s="1821" t="s">
        <v>237</v>
      </c>
      <c r="C236" s="369"/>
      <c r="D236" s="2311"/>
      <c r="E236" s="2056"/>
      <c r="F236" s="2220" t="str">
        <f>INDEX(PT_DIFFERENTIATION_VTAR,MATCH(A236,PT_DIFFERENTIATION_VTAR_ID,0))</f>
        <v>Тариф на подключение (технологическое присоединение) к централизованной системе холодного водоснабжения</v>
      </c>
      <c r="G236" s="2266" t="str">
        <f>INDEX(PT_DIFFERENTIATION_NTAR,MATCH(B236,PT_DIFFERENTIATION_NTAR_ID,0))</f>
        <v/>
      </c>
      <c r="H236" s="1905"/>
      <c r="I236" s="1779"/>
      <c r="J236" s="1814"/>
      <c r="K236" s="1819"/>
      <c r="L236" s="1905" t="s">
        <v>297</v>
      </c>
      <c r="M236" s="337"/>
      <c r="N236" s="330"/>
      <c r="O236" s="1664"/>
      <c r="P236" s="1664"/>
    </row>
    <row s="2950" customFormat="1" customHeight="1" ht="18.75" hidden="1">
      <c r="A237" s="1821"/>
      <c r="B237" s="1821"/>
      <c r="C237" s="369" t="s">
        <v>1064</v>
      </c>
      <c r="D237" s="2311"/>
      <c r="E237" s="2056"/>
      <c r="F237" s="2220"/>
      <c r="G237" s="2266"/>
      <c r="H237" s="1530"/>
      <c r="I237" s="657" t="s">
        <v>1063</v>
      </c>
      <c r="J237" s="577"/>
      <c r="K237" s="1530"/>
      <c r="L237" s="200"/>
      <c r="M237" s="337"/>
      <c r="N237" s="330"/>
      <c r="O237" s="1664"/>
      <c r="P237" s="1664"/>
    </row>
    <row s="2950" customFormat="1" customHeight="1" ht="0.75" hidden="1">
      <c r="A238" s="1821"/>
      <c r="B238" s="1821"/>
      <c r="C238" s="369" t="s">
        <v>1071</v>
      </c>
      <c r="D238" s="2311"/>
      <c r="E238" s="2056"/>
      <c r="F238" s="2220"/>
      <c r="G238" s="406"/>
      <c r="H238" s="1530"/>
      <c r="I238" s="657"/>
      <c r="J238" s="577"/>
      <c r="K238" s="1530"/>
      <c r="L238" s="200"/>
      <c r="M238" s="337"/>
      <c r="N238" s="330"/>
      <c r="O238" s="1664"/>
      <c r="P238" s="1664"/>
    </row>
    <row s="2950" customFormat="1" customHeight="1" ht="18.75" hidden="1">
      <c r="A239" s="1821" t="s">
        <v>241</v>
      </c>
      <c r="B239" s="1821" t="s">
        <v>242</v>
      </c>
      <c r="C239" s="369"/>
      <c r="D239" s="2311"/>
      <c r="E239" s="2056"/>
      <c r="F239" s="2220" t="str">
        <f>INDEX(PT_DIFFERENTIATION_VTAR,MATCH(A239,PT_DIFFERENTIATION_VTAR_ID,0))</f>
        <v>Тариф на горячую воду (горячее водоснабжение)</v>
      </c>
      <c r="G239" s="2266" t="str">
        <f>INDEX(PT_DIFFERENTIATION_NTAR,MATCH(B239,PT_DIFFERENTIATION_NTAR_ID,0))</f>
        <v/>
      </c>
      <c r="H239" s="1905"/>
      <c r="I239" s="1779"/>
      <c r="J239" s="1814"/>
      <c r="K239" s="1819"/>
      <c r="L239" s="1905" t="s">
        <v>297</v>
      </c>
      <c r="M239" s="337"/>
      <c r="N239" s="330"/>
      <c r="O239" s="1664"/>
      <c r="P239" s="1664"/>
    </row>
    <row s="2950" customFormat="1" customHeight="1" ht="18.75" hidden="1">
      <c r="A240" s="1821"/>
      <c r="B240" s="1821"/>
      <c r="C240" s="369" t="s">
        <v>1064</v>
      </c>
      <c r="D240" s="2311"/>
      <c r="E240" s="2056"/>
      <c r="F240" s="2220"/>
      <c r="G240" s="2266"/>
      <c r="H240" s="1530"/>
      <c r="I240" s="657" t="s">
        <v>1063</v>
      </c>
      <c r="J240" s="577"/>
      <c r="K240" s="1530"/>
      <c r="L240" s="200"/>
      <c r="M240" s="337"/>
      <c r="N240" s="330"/>
      <c r="O240" s="1664"/>
      <c r="P240" s="1664"/>
    </row>
    <row s="2950" customFormat="1" customHeight="1" ht="0.75" hidden="1">
      <c r="A241" s="1821"/>
      <c r="B241" s="1821"/>
      <c r="C241" s="369" t="s">
        <v>1071</v>
      </c>
      <c r="D241" s="2311"/>
      <c r="E241" s="2056"/>
      <c r="F241" s="2220"/>
      <c r="G241" s="406"/>
      <c r="H241" s="1530"/>
      <c r="I241" s="657"/>
      <c r="J241" s="577"/>
      <c r="K241" s="1530"/>
      <c r="L241" s="200"/>
      <c r="M241" s="337"/>
      <c r="N241" s="330"/>
      <c r="O241" s="1664"/>
      <c r="P241" s="1664"/>
    </row>
    <row s="2950" customFormat="1" customHeight="1" ht="18.75" hidden="1">
      <c r="A242" s="1821" t="s">
        <v>246</v>
      </c>
      <c r="B242" s="1821" t="s">
        <v>247</v>
      </c>
      <c r="C242" s="369"/>
      <c r="D242" s="2311"/>
      <c r="E242" s="2056"/>
      <c r="F242" s="2220" t="str">
        <f>INDEX(PT_DIFFERENTIATION_VTAR,MATCH(A242,PT_DIFFERENTIATION_VTAR_ID,0))</f>
        <v>Тариф на транспортировку горячей воды</v>
      </c>
      <c r="G242" s="2266" t="str">
        <f>INDEX(PT_DIFFERENTIATION_NTAR,MATCH(B242,PT_DIFFERENTIATION_NTAR_ID,0))</f>
        <v/>
      </c>
      <c r="H242" s="1905"/>
      <c r="I242" s="1779"/>
      <c r="J242" s="1814"/>
      <c r="K242" s="1819"/>
      <c r="L242" s="1905" t="s">
        <v>297</v>
      </c>
      <c r="M242" s="337"/>
      <c r="N242" s="330"/>
      <c r="O242" s="1664"/>
      <c r="P242" s="1664"/>
    </row>
    <row s="2950" customFormat="1" customHeight="1" ht="18.75" hidden="1">
      <c r="A243" s="1821"/>
      <c r="B243" s="1821"/>
      <c r="C243" s="369" t="s">
        <v>1064</v>
      </c>
      <c r="D243" s="2311"/>
      <c r="E243" s="2056"/>
      <c r="F243" s="2220"/>
      <c r="G243" s="2266"/>
      <c r="H243" s="1530"/>
      <c r="I243" s="657" t="s">
        <v>1063</v>
      </c>
      <c r="J243" s="577"/>
      <c r="K243" s="1530"/>
      <c r="L243" s="200"/>
      <c r="M243" s="337"/>
      <c r="N243" s="330"/>
      <c r="O243" s="1664"/>
      <c r="P243" s="1664"/>
    </row>
    <row s="2950" customFormat="1" customHeight="1" ht="0.75" hidden="1">
      <c r="A244" s="1821"/>
      <c r="B244" s="1821"/>
      <c r="C244" s="369" t="s">
        <v>1071</v>
      </c>
      <c r="D244" s="2311"/>
      <c r="E244" s="2056"/>
      <c r="F244" s="2220"/>
      <c r="G244" s="406"/>
      <c r="H244" s="1530"/>
      <c r="I244" s="657"/>
      <c r="J244" s="577"/>
      <c r="K244" s="1530"/>
      <c r="L244" s="200"/>
      <c r="M244" s="337"/>
      <c r="N244" s="330"/>
      <c r="O244" s="1664"/>
      <c r="P244" s="1664"/>
    </row>
    <row s="2950" customFormat="1" customHeight="1" ht="18.75" hidden="1">
      <c r="A245" s="1821" t="s">
        <v>251</v>
      </c>
      <c r="B245" s="1821" t="s">
        <v>252</v>
      </c>
      <c r="C245" s="369"/>
      <c r="D245" s="2311"/>
      <c r="E245" s="2056"/>
      <c r="F245" s="2220" t="str">
        <f>INDEX(PT_DIFFERENTIATION_VTAR,MATCH(A245,PT_DIFFERENTIATION_VTAR_ID,0))</f>
        <v>Тариф на подключение (технологическое присоединение) к централизованной системе горячего водоснабжения</v>
      </c>
      <c r="G245" s="2266" t="str">
        <f>INDEX(PT_DIFFERENTIATION_NTAR,MATCH(B245,PT_DIFFERENTIATION_NTAR_ID,0))</f>
        <v/>
      </c>
      <c r="H245" s="1905"/>
      <c r="I245" s="1779"/>
      <c r="J245" s="1814"/>
      <c r="K245" s="1819"/>
      <c r="L245" s="1905" t="s">
        <v>297</v>
      </c>
      <c r="M245" s="337"/>
      <c r="N245" s="330"/>
      <c r="O245" s="1664"/>
      <c r="P245" s="1664"/>
    </row>
    <row s="2950" customFormat="1" customHeight="1" ht="18.75" hidden="1">
      <c r="A246" s="1821"/>
      <c r="B246" s="1821"/>
      <c r="C246" s="369" t="s">
        <v>1064</v>
      </c>
      <c r="D246" s="2311"/>
      <c r="E246" s="2056"/>
      <c r="F246" s="2220"/>
      <c r="G246" s="2266"/>
      <c r="H246" s="1530"/>
      <c r="I246" s="657" t="s">
        <v>1063</v>
      </c>
      <c r="J246" s="577"/>
      <c r="K246" s="1530"/>
      <c r="L246" s="200"/>
      <c r="M246" s="337"/>
      <c r="N246" s="330"/>
      <c r="O246" s="1664"/>
      <c r="P246" s="1664"/>
    </row>
    <row s="2950" customFormat="1" customHeight="1" ht="0.75" hidden="1">
      <c r="A247" s="1821"/>
      <c r="B247" s="1821"/>
      <c r="C247" s="369" t="s">
        <v>1071</v>
      </c>
      <c r="D247" s="2311"/>
      <c r="E247" s="2056"/>
      <c r="F247" s="2220"/>
      <c r="G247" s="406"/>
      <c r="H247" s="1530"/>
      <c r="I247" s="657"/>
      <c r="J247" s="577"/>
      <c r="K247" s="1530"/>
      <c r="L247" s="200"/>
      <c r="M247" s="337"/>
      <c r="N247" s="330"/>
      <c r="O247" s="1664"/>
      <c r="P247" s="1664"/>
    </row>
    <row s="2950" customFormat="1" customHeight="1" ht="18.75" hidden="1">
      <c r="A248" s="1821" t="s">
        <v>256</v>
      </c>
      <c r="B248" s="1821" t="s">
        <v>257</v>
      </c>
      <c r="C248" s="369"/>
      <c r="D248" s="2311"/>
      <c r="E248" s="2056"/>
      <c r="F248" s="2220" t="str">
        <f>INDEX(PT_DIFFERENTIATION_VTAR,MATCH(A248,PT_DIFFERENTIATION_VTAR_ID,0))</f>
        <v>Тариф на водоотведение</v>
      </c>
      <c r="G248" s="2266" t="str">
        <f>INDEX(PT_DIFFERENTIATION_NTAR,MATCH(B248,PT_DIFFERENTIATION_NTAR_ID,0))</f>
        <v/>
      </c>
      <c r="H248" s="1905"/>
      <c r="I248" s="1779"/>
      <c r="J248" s="1814"/>
      <c r="K248" s="1819"/>
      <c r="L248" s="1905" t="s">
        <v>297</v>
      </c>
      <c r="M248" s="337"/>
      <c r="N248" s="330"/>
      <c r="O248" s="1664"/>
      <c r="P248" s="1664"/>
    </row>
    <row s="2950" customFormat="1" customHeight="1" ht="18.75" hidden="1">
      <c r="A249" s="1821"/>
      <c r="B249" s="1821"/>
      <c r="C249" s="369" t="s">
        <v>1064</v>
      </c>
      <c r="D249" s="2311"/>
      <c r="E249" s="2056"/>
      <c r="F249" s="2220"/>
      <c r="G249" s="2266"/>
      <c r="H249" s="1530"/>
      <c r="I249" s="657" t="s">
        <v>1063</v>
      </c>
      <c r="J249" s="577"/>
      <c r="K249" s="1530"/>
      <c r="L249" s="200"/>
      <c r="M249" s="337"/>
      <c r="N249" s="330"/>
      <c r="O249" s="1664"/>
      <c r="P249" s="1664"/>
    </row>
    <row s="2950" customFormat="1" customHeight="1" ht="0.75" hidden="1">
      <c r="A250" s="1821"/>
      <c r="B250" s="1821"/>
      <c r="C250" s="369" t="s">
        <v>1071</v>
      </c>
      <c r="D250" s="2311"/>
      <c r="E250" s="2056"/>
      <c r="F250" s="2220"/>
      <c r="G250" s="406"/>
      <c r="H250" s="1530"/>
      <c r="I250" s="657"/>
      <c r="J250" s="577"/>
      <c r="K250" s="1530"/>
      <c r="L250" s="200"/>
      <c r="M250" s="337"/>
      <c r="N250" s="330"/>
      <c r="O250" s="1664"/>
      <c r="P250" s="1664"/>
    </row>
    <row s="2950" customFormat="1" customHeight="1" ht="18.75" hidden="1">
      <c r="A251" s="1821" t="s">
        <v>261</v>
      </c>
      <c r="B251" s="1821" t="s">
        <v>262</v>
      </c>
      <c r="C251" s="369"/>
      <c r="D251" s="2311"/>
      <c r="E251" s="2056"/>
      <c r="F251" s="2220" t="str">
        <f>INDEX(PT_DIFFERENTIATION_VTAR,MATCH(A251,PT_DIFFERENTIATION_VTAR_ID,0))</f>
        <v>Тариф на транспортировку сточных вод</v>
      </c>
      <c r="G251" s="2266" t="str">
        <f>INDEX(PT_DIFFERENTIATION_NTAR,MATCH(B251,PT_DIFFERENTIATION_NTAR_ID,0))</f>
        <v/>
      </c>
      <c r="H251" s="1905"/>
      <c r="I251" s="1779"/>
      <c r="J251" s="1814"/>
      <c r="K251" s="1819"/>
      <c r="L251" s="1905" t="s">
        <v>297</v>
      </c>
      <c r="M251" s="337"/>
      <c r="N251" s="330"/>
      <c r="O251" s="1664"/>
      <c r="P251" s="1664"/>
    </row>
    <row s="2950" customFormat="1" customHeight="1" ht="18.75" hidden="1">
      <c r="A252" s="1821"/>
      <c r="B252" s="1821"/>
      <c r="C252" s="369" t="s">
        <v>1064</v>
      </c>
      <c r="D252" s="2311"/>
      <c r="E252" s="2056"/>
      <c r="F252" s="2220"/>
      <c r="G252" s="2266"/>
      <c r="H252" s="1530"/>
      <c r="I252" s="657" t="s">
        <v>1063</v>
      </c>
      <c r="J252" s="577"/>
      <c r="K252" s="1530"/>
      <c r="L252" s="200"/>
      <c r="M252" s="337"/>
      <c r="N252" s="330"/>
      <c r="O252" s="1664"/>
      <c r="P252" s="1664"/>
    </row>
    <row s="2950" customFormat="1" customHeight="1" ht="0.75" hidden="1">
      <c r="A253" s="1821"/>
      <c r="B253" s="1821"/>
      <c r="C253" s="369" t="s">
        <v>1071</v>
      </c>
      <c r="D253" s="2311"/>
      <c r="E253" s="2056"/>
      <c r="F253" s="2220"/>
      <c r="G253" s="406"/>
      <c r="H253" s="1530"/>
      <c r="I253" s="657"/>
      <c r="J253" s="577"/>
      <c r="K253" s="1530"/>
      <c r="L253" s="200"/>
      <c r="M253" s="337"/>
      <c r="N253" s="330"/>
      <c r="O253" s="1664"/>
      <c r="P253" s="1664"/>
    </row>
    <row s="2950" customFormat="1" customHeight="1" ht="18.75" hidden="1">
      <c r="A254" s="1821" t="s">
        <v>266</v>
      </c>
      <c r="B254" s="1821" t="s">
        <v>267</v>
      </c>
      <c r="C254" s="369"/>
      <c r="D254" s="2311"/>
      <c r="E254" s="2056"/>
      <c r="F254" s="2220" t="str">
        <f>INDEX(PT_DIFFERENTIATION_VTAR,MATCH(A254,PT_DIFFERENTIATION_VTAR_ID,0))</f>
        <v>Тариф на подключение (технологическое присоединение) к централизованной системе водоотведения</v>
      </c>
      <c r="G254" s="2266" t="str">
        <f>INDEX(PT_DIFFERENTIATION_NTAR,MATCH(B254,PT_DIFFERENTIATION_NTAR_ID,0))</f>
        <v/>
      </c>
      <c r="H254" s="1905"/>
      <c r="I254" s="1779"/>
      <c r="J254" s="1814"/>
      <c r="K254" s="1819"/>
      <c r="L254" s="1905" t="s">
        <v>297</v>
      </c>
      <c r="M254" s="337"/>
      <c r="N254" s="330"/>
      <c r="O254" s="1664"/>
      <c r="P254" s="1664"/>
    </row>
    <row s="2950" customFormat="1" customHeight="1" ht="18.75" hidden="1">
      <c r="A255" s="1821"/>
      <c r="B255" s="1821"/>
      <c r="C255" s="369" t="s">
        <v>1064</v>
      </c>
      <c r="D255" s="2311"/>
      <c r="E255" s="2056"/>
      <c r="F255" s="2220"/>
      <c r="G255" s="2266"/>
      <c r="H255" s="1530"/>
      <c r="I255" s="657" t="s">
        <v>1063</v>
      </c>
      <c r="J255" s="577"/>
      <c r="K255" s="1530"/>
      <c r="L255" s="200"/>
      <c r="M255" s="337"/>
      <c r="N255" s="330"/>
      <c r="O255" s="1664"/>
      <c r="P255" s="1664"/>
    </row>
    <row s="2950" customFormat="1" customHeight="1" ht="0.75">
      <c r="A256" s="1821"/>
      <c r="B256" s="1821"/>
      <c r="C256" s="369" t="s">
        <v>1071</v>
      </c>
      <c r="D256" s="2311"/>
      <c r="E256" s="2056"/>
      <c r="F256" s="2220"/>
      <c r="G256" s="406"/>
      <c r="H256" s="1530"/>
      <c r="I256" s="657"/>
      <c r="J256" s="577"/>
      <c r="K256" s="1530"/>
      <c r="L256" s="200"/>
      <c r="M256" s="337"/>
      <c r="N256" s="330"/>
      <c r="O256" s="1664"/>
      <c r="P256" s="1664"/>
    </row>
    <row customHeight="1" ht="25.5">
      <c r="A257" s="1821"/>
      <c r="B257" s="1821"/>
      <c r="D257" s="377"/>
      <c r="E257" s="133" t="s">
        <v>91</v>
      </c>
      <c r="F257" s="230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57" s="2303"/>
      <c r="H257" s="2303"/>
      <c r="I257" s="2303"/>
      <c r="J257" s="2303"/>
      <c r="K257" s="2303"/>
      <c r="L257" s="2303"/>
      <c r="M257" s="285"/>
      <c r="N257" s="330"/>
    </row>
    <row s="2950" customFormat="1" customHeight="1" ht="60.75" hidden="1">
      <c r="A258" s="1821" t="s">
        <v>154</v>
      </c>
      <c r="B258" s="1821" t="s">
        <v>155</v>
      </c>
      <c r="C258" s="369"/>
      <c r="D258" s="2311"/>
      <c r="E258" s="2056"/>
      <c r="F258" s="2220" t="str">
        <f>INDEX(PT_DIFFERENTIATION_VTAR,MATCH(A258,PT_DIFFERENTIATION_VTAR_ID,0))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58" s="2266" t="str">
        <f>INDEX(PT_DIFFERENTIATION_NTAR,MATCH(B258,PT_DIFFERENTIATION_NTAR_ID,0))</f>
        <v/>
      </c>
      <c r="H258" s="1905"/>
      <c r="I258" s="1779"/>
      <c r="J258" s="1814"/>
      <c r="K258" s="1819"/>
      <c r="L258" s="1905" t="s">
        <v>297</v>
      </c>
      <c r="M258"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58" s="330"/>
      <c r="O258" s="1664"/>
      <c r="P258" s="1664"/>
    </row>
    <row s="2950" customFormat="1" customHeight="1" ht="18.75" hidden="1">
      <c r="A259" s="1821"/>
      <c r="B259" s="1821"/>
      <c r="C259" s="369" t="s">
        <v>1064</v>
      </c>
      <c r="D259" s="2311"/>
      <c r="E259" s="2056"/>
      <c r="F259" s="2220"/>
      <c r="G259" s="2266"/>
      <c r="H259" s="1530"/>
      <c r="I259" s="657" t="s">
        <v>1063</v>
      </c>
      <c r="J259" s="577"/>
      <c r="K259" s="1530"/>
      <c r="L259" s="200"/>
      <c r="M259" s="2016"/>
      <c r="N259" s="330"/>
      <c r="O259" s="1664"/>
      <c r="P259" s="1664"/>
    </row>
    <row s="2950" customFormat="1" customHeight="1" ht="0.75" hidden="1">
      <c r="A260" s="1821"/>
      <c r="B260" s="1821"/>
      <c r="C260" s="369" t="s">
        <v>1071</v>
      </c>
      <c r="D260" s="2311"/>
      <c r="E260" s="2056"/>
      <c r="F260" s="2220"/>
      <c r="G260" s="406"/>
      <c r="H260" s="1530"/>
      <c r="I260" s="657"/>
      <c r="J260" s="577"/>
      <c r="K260" s="1530"/>
      <c r="L260" s="200"/>
      <c r="M260" s="2016"/>
      <c r="N260" s="330"/>
      <c r="O260" s="1664"/>
      <c r="P260" s="1664"/>
    </row>
    <row s="2950" customFormat="1" customHeight="1" ht="45" hidden="1">
      <c r="A261" s="1821" t="s">
        <v>162</v>
      </c>
      <c r="B261" s="1821" t="s">
        <v>163</v>
      </c>
      <c r="C261" s="369"/>
      <c r="D261" s="2311"/>
      <c r="E261" s="2056"/>
      <c r="F261" s="2220" t="str">
        <f>INDEX(PT_DIFFERENTIATION_VTAR,MATCH(A261,PT_DIFFERENTIATION_VTAR_ID,0))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61" s="2266" t="str">
        <f>INDEX(PT_DIFFERENTIATION_NTAR,MATCH(B261,PT_DIFFERENTIATION_NTAR_ID,0))</f>
        <v>Тариф на тепловую энергию</v>
      </c>
      <c r="H261" s="1905"/>
      <c r="I261" s="1779"/>
      <c r="J261" s="1814"/>
      <c r="K261" s="1819"/>
      <c r="L261" s="1905" t="s">
        <v>297</v>
      </c>
      <c r="M261" s="2017"/>
      <c r="N261" s="330"/>
      <c r="O261" s="1664"/>
      <c r="P261" s="1664"/>
    </row>
    <row s="2950" customFormat="1" customHeight="1" ht="18.75" hidden="1">
      <c r="A262" s="1821"/>
      <c r="B262" s="1821"/>
      <c r="C262" s="369" t="s">
        <v>1064</v>
      </c>
      <c r="D262" s="2311"/>
      <c r="E262" s="2056"/>
      <c r="F262" s="2220"/>
      <c r="G262" s="2266"/>
      <c r="H262" s="1530"/>
      <c r="I262" s="657" t="s">
        <v>1063</v>
      </c>
      <c r="J262" s="577"/>
      <c r="K262" s="1530"/>
      <c r="L262" s="200"/>
      <c r="M262" s="1904"/>
      <c r="N262" s="330"/>
      <c r="O262" s="1664"/>
      <c r="P262" s="1664"/>
    </row>
    <row s="2950" customFormat="1" customHeight="1" ht="0.75" hidden="1">
      <c r="A263" s="1821"/>
      <c r="B263" s="1821"/>
      <c r="C263" s="369" t="s">
        <v>1071</v>
      </c>
      <c r="D263" s="2311"/>
      <c r="E263" s="2056"/>
      <c r="F263" s="2220"/>
      <c r="G263" s="406"/>
      <c r="H263" s="1530"/>
      <c r="I263" s="657"/>
      <c r="J263" s="577"/>
      <c r="K263" s="1530"/>
      <c r="L263" s="200"/>
      <c r="M263" s="337"/>
      <c r="N263" s="330"/>
      <c r="O263" s="1664"/>
      <c r="P263" s="1664"/>
    </row>
    <row s="2950" customFormat="1" customHeight="1" ht="45" hidden="1">
      <c r="A264" s="1821" t="s">
        <v>172</v>
      </c>
      <c r="B264" s="1821" t="s">
        <v>173</v>
      </c>
      <c r="C264" s="369"/>
      <c r="D264" s="2311"/>
      <c r="E264" s="2056"/>
      <c r="F264" s="2220" t="str">
        <f>INDEX(PT_DIFFERENTIATION_VTAR,MATCH(A264,PT_DIFFERENTIATION_VTAR_ID,0))</f>
        <v>Тарифы на теплоноситель, поставляемый теплоснабжающими организациями потребителям, другим теплоснабжающим организациям</v>
      </c>
      <c r="G264" s="2266" t="str">
        <f>INDEX(PT_DIFFERENTIATION_NTAR,MATCH(B264,PT_DIFFERENTIATION_NTAR_ID,0))</f>
        <v/>
      </c>
      <c r="H264" s="1905"/>
      <c r="I264" s="1779"/>
      <c r="J264" s="1814"/>
      <c r="K264" s="1819"/>
      <c r="L264" s="1905" t="s">
        <v>297</v>
      </c>
      <c r="M264" s="337"/>
      <c r="N264" s="330"/>
      <c r="O264" s="1664"/>
      <c r="P264" s="1664"/>
    </row>
    <row s="2950" customFormat="1" customHeight="1" ht="18.75" hidden="1">
      <c r="A265" s="1821"/>
      <c r="B265" s="1821"/>
      <c r="C265" s="369" t="s">
        <v>1064</v>
      </c>
      <c r="D265" s="2311"/>
      <c r="E265" s="2056"/>
      <c r="F265" s="2220"/>
      <c r="G265" s="2266"/>
      <c r="H265" s="1530"/>
      <c r="I265" s="657" t="s">
        <v>1063</v>
      </c>
      <c r="J265" s="577"/>
      <c r="K265" s="1530"/>
      <c r="L265" s="200"/>
      <c r="M265" s="337"/>
      <c r="N265" s="330"/>
      <c r="O265" s="1664"/>
      <c r="P265" s="1664"/>
    </row>
    <row s="2950" customFormat="1" customHeight="1" ht="0.75" hidden="1">
      <c r="A266" s="1821"/>
      <c r="B266" s="1821"/>
      <c r="C266" s="369" t="s">
        <v>1071</v>
      </c>
      <c r="D266" s="2311"/>
      <c r="E266" s="2056"/>
      <c r="F266" s="2220"/>
      <c r="G266" s="406"/>
      <c r="H266" s="1530"/>
      <c r="I266" s="657"/>
      <c r="J266" s="577"/>
      <c r="K266" s="1530"/>
      <c r="L266" s="200"/>
      <c r="M266" s="337"/>
      <c r="N266" s="330"/>
      <c r="O266" s="1664"/>
      <c r="P266" s="1664"/>
    </row>
    <row s="2950" customFormat="1" customHeight="1" ht="45" hidden="1">
      <c r="A267" s="1821" t="s">
        <v>178</v>
      </c>
      <c r="B267" s="1821" t="s">
        <v>179</v>
      </c>
      <c r="C267" s="369"/>
      <c r="D267" s="2311"/>
      <c r="E267" s="2056"/>
      <c r="F267" s="2220" t="str">
        <f>INDEX(PT_DIFFERENTIATION_VTAR,MATCH(A267,PT_DIFFERENTIATION_VTAR_ID,0))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67" s="2266" t="str">
        <f>INDEX(PT_DIFFERENTIATION_NTAR,MATCH(B267,PT_DIFFERENTIATION_NTAR_ID,0))</f>
        <v/>
      </c>
      <c r="H267" s="1905"/>
      <c r="I267" s="1779"/>
      <c r="J267" s="1814"/>
      <c r="K267" s="1819"/>
      <c r="L267" s="1905" t="s">
        <v>297</v>
      </c>
      <c r="M267" s="337"/>
      <c r="N267" s="330"/>
      <c r="O267" s="1664"/>
      <c r="P267" s="1664"/>
    </row>
    <row s="2950" customFormat="1" customHeight="1" ht="18.75" hidden="1">
      <c r="A268" s="1821"/>
      <c r="B268" s="1821"/>
      <c r="C268" s="369" t="s">
        <v>1064</v>
      </c>
      <c r="D268" s="2311"/>
      <c r="E268" s="2056"/>
      <c r="F268" s="2220"/>
      <c r="G268" s="2266"/>
      <c r="H268" s="1530"/>
      <c r="I268" s="657" t="s">
        <v>1063</v>
      </c>
      <c r="J268" s="577"/>
      <c r="K268" s="1530"/>
      <c r="L268" s="200"/>
      <c r="M268" s="337"/>
      <c r="N268" s="330"/>
      <c r="O268" s="1664"/>
      <c r="P268" s="1664"/>
    </row>
    <row s="2950" customFormat="1" customHeight="1" ht="0.75" hidden="1">
      <c r="A269" s="1821"/>
      <c r="B269" s="1821"/>
      <c r="C269" s="369" t="s">
        <v>1071</v>
      </c>
      <c r="D269" s="2311"/>
      <c r="E269" s="2056"/>
      <c r="F269" s="2220"/>
      <c r="G269" s="406"/>
      <c r="H269" s="1530"/>
      <c r="I269" s="657"/>
      <c r="J269" s="577"/>
      <c r="K269" s="1530"/>
      <c r="L269" s="200"/>
      <c r="M269" s="337"/>
      <c r="N269" s="330"/>
      <c r="O269" s="1664"/>
      <c r="P269" s="1664"/>
    </row>
    <row s="2950" customFormat="1" customHeight="1" ht="18.75" hidden="1">
      <c r="A270" s="1821" t="s">
        <v>184</v>
      </c>
      <c r="B270" s="1821" t="s">
        <v>185</v>
      </c>
      <c r="C270" s="369"/>
      <c r="D270" s="2311"/>
      <c r="E270" s="2056"/>
      <c r="F270" s="2220" t="str">
        <f>INDEX(PT_DIFFERENTIATION_VTAR,MATCH(A270,PT_DIFFERENTIATION_VTAR_ID,0))</f>
        <v>Тарифы на услуги по передаче тепловой энергии</v>
      </c>
      <c r="G270" s="2266" t="str">
        <f>INDEX(PT_DIFFERENTIATION_NTAR,MATCH(B270,PT_DIFFERENTIATION_NTAR_ID,0))</f>
        <v/>
      </c>
      <c r="H270" s="1905"/>
      <c r="I270" s="1779"/>
      <c r="J270" s="1814"/>
      <c r="K270" s="1819"/>
      <c r="L270" s="1905" t="s">
        <v>297</v>
      </c>
      <c r="M270" s="337"/>
      <c r="N270" s="330"/>
      <c r="O270" s="1664"/>
      <c r="P270" s="1664"/>
    </row>
    <row s="2950" customFormat="1" customHeight="1" ht="18.75" hidden="1">
      <c r="A271" s="1821"/>
      <c r="B271" s="1821"/>
      <c r="C271" s="369" t="s">
        <v>1064</v>
      </c>
      <c r="D271" s="2311"/>
      <c r="E271" s="2056"/>
      <c r="F271" s="2220"/>
      <c r="G271" s="2266"/>
      <c r="H271" s="1530"/>
      <c r="I271" s="657" t="s">
        <v>1063</v>
      </c>
      <c r="J271" s="577"/>
      <c r="K271" s="1530"/>
      <c r="L271" s="200"/>
      <c r="M271" s="337"/>
      <c r="N271" s="330"/>
      <c r="O271" s="1664"/>
      <c r="P271" s="1664"/>
    </row>
    <row s="2950" customFormat="1" customHeight="1" ht="0.75" hidden="1">
      <c r="A272" s="1821"/>
      <c r="B272" s="1821"/>
      <c r="C272" s="369" t="s">
        <v>1071</v>
      </c>
      <c r="D272" s="2311"/>
      <c r="E272" s="2056"/>
      <c r="F272" s="2220"/>
      <c r="G272" s="406"/>
      <c r="H272" s="1530"/>
      <c r="I272" s="657"/>
      <c r="J272" s="577"/>
      <c r="K272" s="1530"/>
      <c r="L272" s="200"/>
      <c r="M272" s="337"/>
      <c r="N272" s="330"/>
      <c r="O272" s="1664"/>
      <c r="P272" s="1664"/>
    </row>
    <row s="2950" customFormat="1" customHeight="1" ht="18.75" hidden="1">
      <c r="A273" s="1821" t="s">
        <v>190</v>
      </c>
      <c r="B273" s="1821" t="s">
        <v>191</v>
      </c>
      <c r="C273" s="369"/>
      <c r="D273" s="2311"/>
      <c r="E273" s="2056"/>
      <c r="F273" s="2220" t="str">
        <f>INDEX(PT_DIFFERENTIATION_VTAR,MATCH(A273,PT_DIFFERENTIATION_VTAR_ID,0))</f>
        <v>Тарифы на услуги по передаче теплоносителя</v>
      </c>
      <c r="G273" s="2266" t="str">
        <f>INDEX(PT_DIFFERENTIATION_NTAR,MATCH(B273,PT_DIFFERENTIATION_NTAR_ID,0))</f>
        <v/>
      </c>
      <c r="H273" s="1905"/>
      <c r="I273" s="1779"/>
      <c r="J273" s="1814"/>
      <c r="K273" s="1819"/>
      <c r="L273" s="1905" t="s">
        <v>297</v>
      </c>
      <c r="M273" s="337"/>
      <c r="N273" s="330"/>
      <c r="O273" s="1664"/>
      <c r="P273" s="1664"/>
    </row>
    <row s="2950" customFormat="1" customHeight="1" ht="18.75" hidden="1">
      <c r="A274" s="1821"/>
      <c r="B274" s="1821"/>
      <c r="C274" s="369" t="s">
        <v>1064</v>
      </c>
      <c r="D274" s="2311"/>
      <c r="E274" s="2056"/>
      <c r="F274" s="2220"/>
      <c r="G274" s="2266"/>
      <c r="H274" s="1530"/>
      <c r="I274" s="657" t="s">
        <v>1063</v>
      </c>
      <c r="J274" s="577"/>
      <c r="K274" s="1530"/>
      <c r="L274" s="200"/>
      <c r="M274" s="337"/>
      <c r="N274" s="330"/>
      <c r="O274" s="1664"/>
      <c r="P274" s="1664"/>
    </row>
    <row s="2950" customFormat="1" customHeight="1" ht="0.75" hidden="1">
      <c r="A275" s="1821"/>
      <c r="B275" s="1821"/>
      <c r="C275" s="369" t="s">
        <v>1071</v>
      </c>
      <c r="D275" s="2311"/>
      <c r="E275" s="2056"/>
      <c r="F275" s="2220"/>
      <c r="G275" s="406"/>
      <c r="H275" s="1530"/>
      <c r="I275" s="657"/>
      <c r="J275" s="577"/>
      <c r="K275" s="1530"/>
      <c r="L275" s="200"/>
      <c r="M275" s="337"/>
      <c r="N275" s="330"/>
      <c r="O275" s="1664"/>
      <c r="P275" s="1664"/>
    </row>
    <row s="2950" customFormat="1" customHeight="1" ht="18.75" hidden="1">
      <c r="A276" s="1821" t="s">
        <v>196</v>
      </c>
      <c r="B276" s="1821" t="s">
        <v>197</v>
      </c>
      <c r="C276" s="369"/>
      <c r="D276" s="2311"/>
      <c r="E276" s="2056"/>
      <c r="F276" s="2220" t="str">
        <f>INDEX(PT_DIFFERENTIATION_VTAR,MATCH(A276,PT_DIFFERENTIATION_VTAR_ID,0))</f>
        <v>Плата за услуги по поддержанию резервной тепловой мощности при отсутствии потребления тепловой энергии</v>
      </c>
      <c r="G276" s="2266" t="str">
        <f>INDEX(PT_DIFFERENTIATION_NTAR,MATCH(B276,PT_DIFFERENTIATION_NTAR_ID,0))</f>
        <v/>
      </c>
      <c r="H276" s="1905"/>
      <c r="I276" s="1779"/>
      <c r="J276" s="1814"/>
      <c r="K276" s="1819"/>
      <c r="L276" s="1905" t="s">
        <v>297</v>
      </c>
      <c r="M276" s="337"/>
      <c r="N276" s="330"/>
      <c r="O276" s="1664"/>
      <c r="P276" s="1664"/>
    </row>
    <row s="2950" customFormat="1" customHeight="1" ht="18.75" hidden="1">
      <c r="A277" s="1821"/>
      <c r="B277" s="1821"/>
      <c r="C277" s="369" t="s">
        <v>1064</v>
      </c>
      <c r="D277" s="2311"/>
      <c r="E277" s="2056"/>
      <c r="F277" s="2220"/>
      <c r="G277" s="2266"/>
      <c r="H277" s="1530"/>
      <c r="I277" s="657" t="s">
        <v>1063</v>
      </c>
      <c r="J277" s="577"/>
      <c r="K277" s="1530"/>
      <c r="L277" s="200"/>
      <c r="M277" s="337"/>
      <c r="N277" s="330"/>
      <c r="O277" s="1664"/>
      <c r="P277" s="1664"/>
    </row>
    <row s="2950" customFormat="1" customHeight="1" ht="0.75" hidden="1">
      <c r="A278" s="1821"/>
      <c r="B278" s="1821"/>
      <c r="C278" s="369" t="s">
        <v>1071</v>
      </c>
      <c r="D278" s="2311"/>
      <c r="E278" s="2056"/>
      <c r="F278" s="2220"/>
      <c r="G278" s="406"/>
      <c r="H278" s="1530"/>
      <c r="I278" s="657"/>
      <c r="J278" s="577"/>
      <c r="K278" s="1530"/>
      <c r="L278" s="200"/>
      <c r="M278" s="337"/>
      <c r="N278" s="330"/>
      <c r="O278" s="1664"/>
      <c r="P278" s="1664"/>
    </row>
    <row s="2950" customFormat="1" customHeight="1" ht="18.75" hidden="1">
      <c r="A279" s="1821" t="s">
        <v>202</v>
      </c>
      <c r="B279" s="1821" t="s">
        <v>203</v>
      </c>
      <c r="C279" s="369"/>
      <c r="D279" s="2311"/>
      <c r="E279" s="2056"/>
      <c r="F279" s="2220" t="str">
        <f>INDEX(PT_DIFFERENTIATION_VTAR,MATCH(A279,PT_DIFFERENTIATION_VTAR_ID,0))</f>
        <v>Плата за подключение (технологическое присоединение) к системе теплоснабжения</v>
      </c>
      <c r="G279" s="2266" t="str">
        <f>INDEX(PT_DIFFERENTIATION_NTAR,MATCH(B279,PT_DIFFERENTIATION_NTAR_ID,0))</f>
        <v/>
      </c>
      <c r="H279" s="1905"/>
      <c r="I279" s="1779"/>
      <c r="J279" s="1814"/>
      <c r="K279" s="1819"/>
      <c r="L279" s="1905" t="s">
        <v>297</v>
      </c>
      <c r="M279" s="337"/>
      <c r="N279" s="330"/>
      <c r="O279" s="1664"/>
      <c r="P279" s="1664"/>
    </row>
    <row s="2950" customFormat="1" customHeight="1" ht="18.75" hidden="1">
      <c r="A280" s="1821"/>
      <c r="B280" s="1821"/>
      <c r="C280" s="369" t="s">
        <v>1064</v>
      </c>
      <c r="D280" s="2311"/>
      <c r="E280" s="2056"/>
      <c r="F280" s="2220"/>
      <c r="G280" s="2266"/>
      <c r="H280" s="1530"/>
      <c r="I280" s="657" t="s">
        <v>1063</v>
      </c>
      <c r="J280" s="577"/>
      <c r="K280" s="1530"/>
      <c r="L280" s="200"/>
      <c r="M280" s="337"/>
      <c r="N280" s="330"/>
      <c r="O280" s="1664"/>
      <c r="P280" s="1664"/>
    </row>
    <row s="2950" customFormat="1" customHeight="1" ht="0.75" hidden="1">
      <c r="A281" s="1821"/>
      <c r="B281" s="1821"/>
      <c r="C281" s="369" t="s">
        <v>1071</v>
      </c>
      <c r="D281" s="2311"/>
      <c r="E281" s="2056"/>
      <c r="F281" s="2220"/>
      <c r="G281" s="406"/>
      <c r="H281" s="1530"/>
      <c r="I281" s="657"/>
      <c r="J281" s="577"/>
      <c r="K281" s="1530"/>
      <c r="L281" s="200"/>
      <c r="M281" s="337"/>
      <c r="N281" s="330"/>
      <c r="O281" s="1664"/>
      <c r="P281" s="1664"/>
    </row>
    <row s="2950" customFormat="1" customHeight="1" ht="18.75" hidden="1">
      <c r="A282" s="1821" t="s">
        <v>216</v>
      </c>
      <c r="B282" s="1821" t="s">
        <v>217</v>
      </c>
      <c r="C282" s="369"/>
      <c r="D282" s="2311"/>
      <c r="E282" s="2056"/>
      <c r="F282" s="2220" t="str">
        <f>INDEX(PT_DIFFERENTIATION_VTAR,MATCH(A282,PT_DIFFERENTIATION_VTAR_ID,0))</f>
        <v>Тариф на питьевую воду (питьевое водоснабжение)</v>
      </c>
      <c r="G282" s="2266" t="str">
        <f>INDEX(PT_DIFFERENTIATION_NTAR,MATCH(B282,PT_DIFFERENTIATION_NTAR_ID,0))</f>
        <v/>
      </c>
      <c r="H282" s="1905"/>
      <c r="I282" s="1779"/>
      <c r="J282" s="1814"/>
      <c r="K282" s="1819"/>
      <c r="L282" s="1905" t="s">
        <v>297</v>
      </c>
      <c r="M282" s="337"/>
      <c r="N282" s="330"/>
      <c r="O282" s="1664"/>
      <c r="P282" s="1664"/>
    </row>
    <row s="2950" customFormat="1" customHeight="1" ht="18.75" hidden="1">
      <c r="A283" s="1821"/>
      <c r="B283" s="1821"/>
      <c r="C283" s="369" t="s">
        <v>1064</v>
      </c>
      <c r="D283" s="2311"/>
      <c r="E283" s="2056"/>
      <c r="F283" s="2220"/>
      <c r="G283" s="2266"/>
      <c r="H283" s="1530"/>
      <c r="I283" s="657" t="s">
        <v>1063</v>
      </c>
      <c r="J283" s="577"/>
      <c r="K283" s="1530"/>
      <c r="L283" s="200"/>
      <c r="M283" s="337"/>
      <c r="N283" s="330"/>
      <c r="O283" s="1664"/>
      <c r="P283" s="1664"/>
    </row>
    <row s="2950" customFormat="1" customHeight="1" ht="0.75" hidden="1">
      <c r="A284" s="1821"/>
      <c r="B284" s="1821"/>
      <c r="C284" s="369" t="s">
        <v>1071</v>
      </c>
      <c r="D284" s="2311"/>
      <c r="E284" s="2056"/>
      <c r="F284" s="2220"/>
      <c r="G284" s="406"/>
      <c r="H284" s="1530"/>
      <c r="I284" s="657"/>
      <c r="J284" s="577"/>
      <c r="K284" s="1530"/>
      <c r="L284" s="200"/>
      <c r="M284" s="337"/>
      <c r="N284" s="330"/>
      <c r="O284" s="1664"/>
      <c r="P284" s="1664"/>
    </row>
    <row s="2950" customFormat="1" customHeight="1" ht="18.75" hidden="1">
      <c r="A285" s="1821" t="s">
        <v>221</v>
      </c>
      <c r="B285" s="1821" t="s">
        <v>222</v>
      </c>
      <c r="C285" s="369"/>
      <c r="D285" s="2311"/>
      <c r="E285" s="2056"/>
      <c r="F285" s="2220" t="str">
        <f>INDEX(PT_DIFFERENTIATION_VTAR,MATCH(A285,PT_DIFFERENTIATION_VTAR_ID,0))</f>
        <v>Тариф на техническую воду</v>
      </c>
      <c r="G285" s="2266" t="str">
        <f>INDEX(PT_DIFFERENTIATION_NTAR,MATCH(B285,PT_DIFFERENTIATION_NTAR_ID,0))</f>
        <v/>
      </c>
      <c r="H285" s="1905"/>
      <c r="I285" s="1779"/>
      <c r="J285" s="1814"/>
      <c r="K285" s="1819"/>
      <c r="L285" s="1905" t="s">
        <v>297</v>
      </c>
      <c r="M285" s="337"/>
      <c r="N285" s="330"/>
      <c r="O285" s="1664"/>
      <c r="P285" s="1664"/>
    </row>
    <row s="2950" customFormat="1" customHeight="1" ht="18.75" hidden="1">
      <c r="A286" s="1821"/>
      <c r="B286" s="1821"/>
      <c r="C286" s="369" t="s">
        <v>1064</v>
      </c>
      <c r="D286" s="2311"/>
      <c r="E286" s="2056"/>
      <c r="F286" s="2220"/>
      <c r="G286" s="2266"/>
      <c r="H286" s="1530"/>
      <c r="I286" s="657" t="s">
        <v>1063</v>
      </c>
      <c r="J286" s="577"/>
      <c r="K286" s="1530"/>
      <c r="L286" s="200"/>
      <c r="M286" s="337"/>
      <c r="N286" s="330"/>
      <c r="O286" s="1664"/>
      <c r="P286" s="1664"/>
    </row>
    <row s="2950" customFormat="1" customHeight="1" ht="0.75" hidden="1">
      <c r="A287" s="1821"/>
      <c r="B287" s="1821"/>
      <c r="C287" s="369" t="s">
        <v>1071</v>
      </c>
      <c r="D287" s="2311"/>
      <c r="E287" s="2056"/>
      <c r="F287" s="2220"/>
      <c r="G287" s="406"/>
      <c r="H287" s="1530"/>
      <c r="I287" s="657"/>
      <c r="J287" s="577"/>
      <c r="K287" s="1530"/>
      <c r="L287" s="200"/>
      <c r="M287" s="337"/>
      <c r="N287" s="330"/>
      <c r="O287" s="1664"/>
      <c r="P287" s="1664"/>
    </row>
    <row s="2950" customFormat="1" customHeight="1" ht="18.75" hidden="1">
      <c r="A288" s="1821" t="s">
        <v>226</v>
      </c>
      <c r="B288" s="1821" t="s">
        <v>227</v>
      </c>
      <c r="C288" s="369"/>
      <c r="D288" s="2311"/>
      <c r="E288" s="2056"/>
      <c r="F288" s="2220" t="str">
        <f>INDEX(PT_DIFFERENTIATION_VTAR,MATCH(A288,PT_DIFFERENTIATION_VTAR_ID,0))</f>
        <v>Тариф на транспортировку воды</v>
      </c>
      <c r="G288" s="2266" t="str">
        <f>INDEX(PT_DIFFERENTIATION_NTAR,MATCH(B288,PT_DIFFERENTIATION_NTAR_ID,0))</f>
        <v/>
      </c>
      <c r="H288" s="1905"/>
      <c r="I288" s="1779"/>
      <c r="J288" s="1814"/>
      <c r="K288" s="1819"/>
      <c r="L288" s="1905" t="s">
        <v>297</v>
      </c>
      <c r="M288" s="337"/>
      <c r="N288" s="330"/>
      <c r="O288" s="1664"/>
      <c r="P288" s="1664"/>
    </row>
    <row s="2950" customFormat="1" customHeight="1" ht="18.75" hidden="1">
      <c r="A289" s="1821"/>
      <c r="B289" s="1821"/>
      <c r="C289" s="369" t="s">
        <v>1064</v>
      </c>
      <c r="D289" s="2311"/>
      <c r="E289" s="2056"/>
      <c r="F289" s="2220"/>
      <c r="G289" s="2266"/>
      <c r="H289" s="1530"/>
      <c r="I289" s="657" t="s">
        <v>1063</v>
      </c>
      <c r="J289" s="577"/>
      <c r="K289" s="1530"/>
      <c r="L289" s="200"/>
      <c r="M289" s="337"/>
      <c r="N289" s="330"/>
      <c r="O289" s="1664"/>
      <c r="P289" s="1664"/>
    </row>
    <row s="2950" customFormat="1" customHeight="1" ht="0.75" hidden="1">
      <c r="A290" s="1821"/>
      <c r="B290" s="1821"/>
      <c r="C290" s="369" t="s">
        <v>1071</v>
      </c>
      <c r="D290" s="2311"/>
      <c r="E290" s="2056"/>
      <c r="F290" s="2220"/>
      <c r="G290" s="406"/>
      <c r="H290" s="1530"/>
      <c r="I290" s="657"/>
      <c r="J290" s="577"/>
      <c r="K290" s="1530"/>
      <c r="L290" s="200"/>
      <c r="M290" s="337"/>
      <c r="N290" s="330"/>
      <c r="O290" s="1664"/>
      <c r="P290" s="1664"/>
    </row>
    <row s="2950" customFormat="1" customHeight="1" ht="18.75" hidden="1">
      <c r="A291" s="1821" t="s">
        <v>231</v>
      </c>
      <c r="B291" s="1821" t="s">
        <v>232</v>
      </c>
      <c r="C291" s="369"/>
      <c r="D291" s="2311"/>
      <c r="E291" s="2056"/>
      <c r="F291" s="2220" t="str">
        <f>INDEX(PT_DIFFERENTIATION_VTAR,MATCH(A291,PT_DIFFERENTIATION_VTAR_ID,0))</f>
        <v>Тариф на подвоз воды</v>
      </c>
      <c r="G291" s="2266" t="str">
        <f>INDEX(PT_DIFFERENTIATION_NTAR,MATCH(B291,PT_DIFFERENTIATION_NTAR_ID,0))</f>
        <v/>
      </c>
      <c r="H291" s="1905"/>
      <c r="I291" s="1779"/>
      <c r="J291" s="1814"/>
      <c r="K291" s="1819"/>
      <c r="L291" s="1905" t="s">
        <v>297</v>
      </c>
      <c r="M291" s="337"/>
      <c r="N291" s="330"/>
      <c r="O291" s="1664"/>
      <c r="P291" s="1664"/>
    </row>
    <row s="2950" customFormat="1" customHeight="1" ht="18.75" hidden="1">
      <c r="A292" s="1821"/>
      <c r="B292" s="1821"/>
      <c r="C292" s="369" t="s">
        <v>1064</v>
      </c>
      <c r="D292" s="2311"/>
      <c r="E292" s="2056"/>
      <c r="F292" s="2220"/>
      <c r="G292" s="2266"/>
      <c r="H292" s="1530"/>
      <c r="I292" s="657" t="s">
        <v>1063</v>
      </c>
      <c r="J292" s="577"/>
      <c r="K292" s="1530"/>
      <c r="L292" s="200"/>
      <c r="M292" s="337"/>
      <c r="N292" s="330"/>
      <c r="O292" s="1664"/>
      <c r="P292" s="1664"/>
    </row>
    <row s="2950" customFormat="1" customHeight="1" ht="0.75" hidden="1">
      <c r="A293" s="1821"/>
      <c r="B293" s="1821"/>
      <c r="C293" s="369" t="s">
        <v>1071</v>
      </c>
      <c r="D293" s="2311"/>
      <c r="E293" s="2056"/>
      <c r="F293" s="2220"/>
      <c r="G293" s="406"/>
      <c r="H293" s="1530"/>
      <c r="I293" s="657"/>
      <c r="J293" s="577"/>
      <c r="K293" s="1530"/>
      <c r="L293" s="200"/>
      <c r="M293" s="337"/>
      <c r="N293" s="330"/>
      <c r="O293" s="1664"/>
      <c r="P293" s="1664"/>
    </row>
    <row s="2950" customFormat="1" customHeight="1" ht="18.75" hidden="1">
      <c r="A294" s="1821" t="s">
        <v>236</v>
      </c>
      <c r="B294" s="1821" t="s">
        <v>237</v>
      </c>
      <c r="C294" s="369"/>
      <c r="D294" s="2311"/>
      <c r="E294" s="2056"/>
      <c r="F294" s="2220" t="str">
        <f>INDEX(PT_DIFFERENTIATION_VTAR,MATCH(A294,PT_DIFFERENTIATION_VTAR_ID,0))</f>
        <v>Тариф на подключение (технологическое присоединение) к централизованной системе холодного водоснабжения</v>
      </c>
      <c r="G294" s="2266" t="str">
        <f>INDEX(PT_DIFFERENTIATION_NTAR,MATCH(B294,PT_DIFFERENTIATION_NTAR_ID,0))</f>
        <v/>
      </c>
      <c r="H294" s="1905"/>
      <c r="I294" s="1779"/>
      <c r="J294" s="1814"/>
      <c r="K294" s="1819"/>
      <c r="L294" s="1905" t="s">
        <v>297</v>
      </c>
      <c r="M294" s="337"/>
      <c r="N294" s="330"/>
      <c r="O294" s="1664"/>
      <c r="P294" s="1664"/>
    </row>
    <row s="2950" customFormat="1" customHeight="1" ht="18.75" hidden="1">
      <c r="A295" s="1821"/>
      <c r="B295" s="1821"/>
      <c r="C295" s="369" t="s">
        <v>1064</v>
      </c>
      <c r="D295" s="2311"/>
      <c r="E295" s="2056"/>
      <c r="F295" s="2220"/>
      <c r="G295" s="2266"/>
      <c r="H295" s="1530"/>
      <c r="I295" s="657" t="s">
        <v>1063</v>
      </c>
      <c r="J295" s="577"/>
      <c r="K295" s="1530"/>
      <c r="L295" s="200"/>
      <c r="M295" s="337"/>
      <c r="N295" s="330"/>
      <c r="O295" s="1664"/>
      <c r="P295" s="1664"/>
    </row>
    <row s="2950" customFormat="1" customHeight="1" ht="0.75" hidden="1">
      <c r="A296" s="1821"/>
      <c r="B296" s="1821"/>
      <c r="C296" s="369" t="s">
        <v>1071</v>
      </c>
      <c r="D296" s="2311"/>
      <c r="E296" s="2056"/>
      <c r="F296" s="2220"/>
      <c r="G296" s="406"/>
      <c r="H296" s="1530"/>
      <c r="I296" s="657"/>
      <c r="J296" s="577"/>
      <c r="K296" s="1530"/>
      <c r="L296" s="200"/>
      <c r="M296" s="337"/>
      <c r="N296" s="330"/>
      <c r="O296" s="1664"/>
      <c r="P296" s="1664"/>
    </row>
    <row s="2950" customFormat="1" customHeight="1" ht="18.75" hidden="1">
      <c r="A297" s="1821" t="s">
        <v>241</v>
      </c>
      <c r="B297" s="1821" t="s">
        <v>242</v>
      </c>
      <c r="C297" s="369"/>
      <c r="D297" s="2311"/>
      <c r="E297" s="2056"/>
      <c r="F297" s="2220" t="str">
        <f>INDEX(PT_DIFFERENTIATION_VTAR,MATCH(A297,PT_DIFFERENTIATION_VTAR_ID,0))</f>
        <v>Тариф на горячую воду (горячее водоснабжение)</v>
      </c>
      <c r="G297" s="2266" t="str">
        <f>INDEX(PT_DIFFERENTIATION_NTAR,MATCH(B297,PT_DIFFERENTIATION_NTAR_ID,0))</f>
        <v/>
      </c>
      <c r="H297" s="1905"/>
      <c r="I297" s="1779"/>
      <c r="J297" s="1814"/>
      <c r="K297" s="1819"/>
      <c r="L297" s="1905" t="s">
        <v>297</v>
      </c>
      <c r="M297" s="337"/>
      <c r="N297" s="330"/>
      <c r="O297" s="1664"/>
      <c r="P297" s="1664"/>
    </row>
    <row s="2950" customFormat="1" customHeight="1" ht="18.75" hidden="1">
      <c r="A298" s="1821"/>
      <c r="B298" s="1821"/>
      <c r="C298" s="369" t="s">
        <v>1064</v>
      </c>
      <c r="D298" s="2311"/>
      <c r="E298" s="2056"/>
      <c r="F298" s="2220"/>
      <c r="G298" s="2266"/>
      <c r="H298" s="1530"/>
      <c r="I298" s="657" t="s">
        <v>1063</v>
      </c>
      <c r="J298" s="577"/>
      <c r="K298" s="1530"/>
      <c r="L298" s="200"/>
      <c r="M298" s="337"/>
      <c r="N298" s="330"/>
      <c r="O298" s="1664"/>
      <c r="P298" s="1664"/>
    </row>
    <row s="2950" customFormat="1" customHeight="1" ht="0.75" hidden="1">
      <c r="A299" s="1821"/>
      <c r="B299" s="1821"/>
      <c r="C299" s="369" t="s">
        <v>1071</v>
      </c>
      <c r="D299" s="2311"/>
      <c r="E299" s="2056"/>
      <c r="F299" s="2220"/>
      <c r="G299" s="406"/>
      <c r="H299" s="1530"/>
      <c r="I299" s="657"/>
      <c r="J299" s="577"/>
      <c r="K299" s="1530"/>
      <c r="L299" s="200"/>
      <c r="M299" s="337"/>
      <c r="N299" s="330"/>
      <c r="O299" s="1664"/>
      <c r="P299" s="1664"/>
    </row>
    <row s="2950" customFormat="1" customHeight="1" ht="18.75" hidden="1">
      <c r="A300" s="1821" t="s">
        <v>246</v>
      </c>
      <c r="B300" s="1821" t="s">
        <v>247</v>
      </c>
      <c r="C300" s="369"/>
      <c r="D300" s="2311"/>
      <c r="E300" s="2056"/>
      <c r="F300" s="2220" t="str">
        <f>INDEX(PT_DIFFERENTIATION_VTAR,MATCH(A300,PT_DIFFERENTIATION_VTAR_ID,0))</f>
        <v>Тариф на транспортировку горячей воды</v>
      </c>
      <c r="G300" s="2266" t="str">
        <f>INDEX(PT_DIFFERENTIATION_NTAR,MATCH(B300,PT_DIFFERENTIATION_NTAR_ID,0))</f>
        <v/>
      </c>
      <c r="H300" s="1905"/>
      <c r="I300" s="1779"/>
      <c r="J300" s="1814"/>
      <c r="K300" s="1819"/>
      <c r="L300" s="1905" t="s">
        <v>297</v>
      </c>
      <c r="M300" s="337"/>
      <c r="N300" s="330"/>
      <c r="O300" s="1664"/>
      <c r="P300" s="1664"/>
    </row>
    <row s="2950" customFormat="1" customHeight="1" ht="18.75" hidden="1">
      <c r="A301" s="1821"/>
      <c r="B301" s="1821"/>
      <c r="C301" s="369" t="s">
        <v>1064</v>
      </c>
      <c r="D301" s="2311"/>
      <c r="E301" s="2056"/>
      <c r="F301" s="2220"/>
      <c r="G301" s="2266"/>
      <c r="H301" s="1530"/>
      <c r="I301" s="657" t="s">
        <v>1063</v>
      </c>
      <c r="J301" s="577"/>
      <c r="K301" s="1530"/>
      <c r="L301" s="200"/>
      <c r="M301" s="337"/>
      <c r="N301" s="330"/>
      <c r="O301" s="1664"/>
      <c r="P301" s="1664"/>
    </row>
    <row s="2950" customFormat="1" customHeight="1" ht="0.75" hidden="1">
      <c r="A302" s="1821"/>
      <c r="B302" s="1821"/>
      <c r="C302" s="369" t="s">
        <v>1071</v>
      </c>
      <c r="D302" s="2311"/>
      <c r="E302" s="2056"/>
      <c r="F302" s="2220"/>
      <c r="G302" s="406"/>
      <c r="H302" s="1530"/>
      <c r="I302" s="657"/>
      <c r="J302" s="577"/>
      <c r="K302" s="1530"/>
      <c r="L302" s="200"/>
      <c r="M302" s="337"/>
      <c r="N302" s="330"/>
      <c r="O302" s="1664"/>
      <c r="P302" s="1664"/>
    </row>
    <row s="2950" customFormat="1" customHeight="1" ht="18.75" hidden="1">
      <c r="A303" s="1821" t="s">
        <v>251</v>
      </c>
      <c r="B303" s="1821" t="s">
        <v>252</v>
      </c>
      <c r="C303" s="369"/>
      <c r="D303" s="2311"/>
      <c r="E303" s="2056"/>
      <c r="F303" s="2220" t="str">
        <f>INDEX(PT_DIFFERENTIATION_VTAR,MATCH(A303,PT_DIFFERENTIATION_VTAR_ID,0))</f>
        <v>Тариф на подключение (технологическое присоединение) к централизованной системе горячего водоснабжения</v>
      </c>
      <c r="G303" s="2266" t="str">
        <f>INDEX(PT_DIFFERENTIATION_NTAR,MATCH(B303,PT_DIFFERENTIATION_NTAR_ID,0))</f>
        <v/>
      </c>
      <c r="H303" s="1905"/>
      <c r="I303" s="1779"/>
      <c r="J303" s="1814"/>
      <c r="K303" s="1819"/>
      <c r="L303" s="1905" t="s">
        <v>297</v>
      </c>
      <c r="M303" s="337"/>
      <c r="N303" s="330"/>
      <c r="O303" s="1664"/>
      <c r="P303" s="1664"/>
    </row>
    <row s="2950" customFormat="1" customHeight="1" ht="18.75" hidden="1">
      <c r="A304" s="1821"/>
      <c r="B304" s="1821"/>
      <c r="C304" s="369" t="s">
        <v>1064</v>
      </c>
      <c r="D304" s="2311"/>
      <c r="E304" s="2056"/>
      <c r="F304" s="2220"/>
      <c r="G304" s="2266"/>
      <c r="H304" s="1530"/>
      <c r="I304" s="657" t="s">
        <v>1063</v>
      </c>
      <c r="J304" s="577"/>
      <c r="K304" s="1530"/>
      <c r="L304" s="200"/>
      <c r="M304" s="337"/>
      <c r="N304" s="330"/>
      <c r="O304" s="1664"/>
      <c r="P304" s="1664"/>
    </row>
    <row s="2950" customFormat="1" customHeight="1" ht="0.75" hidden="1">
      <c r="A305" s="1821"/>
      <c r="B305" s="1821"/>
      <c r="C305" s="369" t="s">
        <v>1071</v>
      </c>
      <c r="D305" s="2311"/>
      <c r="E305" s="2056"/>
      <c r="F305" s="2220"/>
      <c r="G305" s="406"/>
      <c r="H305" s="1530"/>
      <c r="I305" s="657"/>
      <c r="J305" s="577"/>
      <c r="K305" s="1530"/>
      <c r="L305" s="200"/>
      <c r="M305" s="337"/>
      <c r="N305" s="330"/>
      <c r="O305" s="1664"/>
      <c r="P305" s="1664"/>
    </row>
    <row s="2950" customFormat="1" customHeight="1" ht="18.75" hidden="1">
      <c r="A306" s="1821" t="s">
        <v>256</v>
      </c>
      <c r="B306" s="1821" t="s">
        <v>257</v>
      </c>
      <c r="C306" s="369"/>
      <c r="D306" s="2311"/>
      <c r="E306" s="2056"/>
      <c r="F306" s="2220" t="str">
        <f>INDEX(PT_DIFFERENTIATION_VTAR,MATCH(A306,PT_DIFFERENTIATION_VTAR_ID,0))</f>
        <v>Тариф на водоотведение</v>
      </c>
      <c r="G306" s="2266" t="str">
        <f>INDEX(PT_DIFFERENTIATION_NTAR,MATCH(B306,PT_DIFFERENTIATION_NTAR_ID,0))</f>
        <v/>
      </c>
      <c r="H306" s="1905"/>
      <c r="I306" s="1779"/>
      <c r="J306" s="1814"/>
      <c r="K306" s="1819"/>
      <c r="L306" s="1905" t="s">
        <v>297</v>
      </c>
      <c r="M306" s="337"/>
      <c r="N306" s="330"/>
      <c r="O306" s="1664"/>
      <c r="P306" s="1664"/>
    </row>
    <row s="2950" customFormat="1" customHeight="1" ht="18.75" hidden="1">
      <c r="A307" s="1821"/>
      <c r="B307" s="1821"/>
      <c r="C307" s="369" t="s">
        <v>1064</v>
      </c>
      <c r="D307" s="2311"/>
      <c r="E307" s="2056"/>
      <c r="F307" s="2220"/>
      <c r="G307" s="2266"/>
      <c r="H307" s="1530"/>
      <c r="I307" s="657" t="s">
        <v>1063</v>
      </c>
      <c r="J307" s="577"/>
      <c r="K307" s="1530"/>
      <c r="L307" s="200"/>
      <c r="M307" s="337"/>
      <c r="N307" s="330"/>
      <c r="O307" s="1664"/>
      <c r="P307" s="1664"/>
    </row>
    <row s="2950" customFormat="1" customHeight="1" ht="0.75" hidden="1">
      <c r="A308" s="1821"/>
      <c r="B308" s="1821"/>
      <c r="C308" s="369" t="s">
        <v>1071</v>
      </c>
      <c r="D308" s="2311"/>
      <c r="E308" s="2056"/>
      <c r="F308" s="2220"/>
      <c r="G308" s="406"/>
      <c r="H308" s="1530"/>
      <c r="I308" s="657"/>
      <c r="J308" s="577"/>
      <c r="K308" s="1530"/>
      <c r="L308" s="200"/>
      <c r="M308" s="337"/>
      <c r="N308" s="330"/>
      <c r="O308" s="1664"/>
      <c r="P308" s="1664"/>
    </row>
    <row s="2950" customFormat="1" customHeight="1" ht="18.75" hidden="1">
      <c r="A309" s="1821" t="s">
        <v>261</v>
      </c>
      <c r="B309" s="1821" t="s">
        <v>262</v>
      </c>
      <c r="C309" s="369"/>
      <c r="D309" s="2311"/>
      <c r="E309" s="2056"/>
      <c r="F309" s="2220" t="str">
        <f>INDEX(PT_DIFFERENTIATION_VTAR,MATCH(A309,PT_DIFFERENTIATION_VTAR_ID,0))</f>
        <v>Тариф на транспортировку сточных вод</v>
      </c>
      <c r="G309" s="2266" t="str">
        <f>INDEX(PT_DIFFERENTIATION_NTAR,MATCH(B309,PT_DIFFERENTIATION_NTAR_ID,0))</f>
        <v/>
      </c>
      <c r="H309" s="1905"/>
      <c r="I309" s="1779"/>
      <c r="J309" s="1814"/>
      <c r="K309" s="1819"/>
      <c r="L309" s="1905" t="s">
        <v>297</v>
      </c>
      <c r="M309" s="337"/>
      <c r="N309" s="330"/>
      <c r="O309" s="1664"/>
      <c r="P309" s="1664"/>
    </row>
    <row s="2950" customFormat="1" customHeight="1" ht="18.75" hidden="1">
      <c r="A310" s="1821"/>
      <c r="B310" s="1821"/>
      <c r="C310" s="369" t="s">
        <v>1064</v>
      </c>
      <c r="D310" s="2311"/>
      <c r="E310" s="2056"/>
      <c r="F310" s="2220"/>
      <c r="G310" s="2266"/>
      <c r="H310" s="1530"/>
      <c r="I310" s="657" t="s">
        <v>1063</v>
      </c>
      <c r="J310" s="577"/>
      <c r="K310" s="1530"/>
      <c r="L310" s="200"/>
      <c r="M310" s="337"/>
      <c r="N310" s="330"/>
      <c r="O310" s="1664"/>
      <c r="P310" s="1664"/>
    </row>
    <row s="2950" customFormat="1" customHeight="1" ht="0.75" hidden="1">
      <c r="A311" s="1821"/>
      <c r="B311" s="1821"/>
      <c r="C311" s="369" t="s">
        <v>1071</v>
      </c>
      <c r="D311" s="2311"/>
      <c r="E311" s="2056"/>
      <c r="F311" s="2220"/>
      <c r="G311" s="406"/>
      <c r="H311" s="1530"/>
      <c r="I311" s="657"/>
      <c r="J311" s="577"/>
      <c r="K311" s="1530"/>
      <c r="L311" s="200"/>
      <c r="M311" s="337"/>
      <c r="N311" s="330"/>
      <c r="O311" s="1664"/>
      <c r="P311" s="1664"/>
    </row>
    <row s="2950" customFormat="1" customHeight="1" ht="18.75" hidden="1">
      <c r="A312" s="1821" t="s">
        <v>266</v>
      </c>
      <c r="B312" s="1821" t="s">
        <v>267</v>
      </c>
      <c r="C312" s="369"/>
      <c r="D312" s="2311"/>
      <c r="E312" s="2056"/>
      <c r="F312" s="2220" t="str">
        <f>INDEX(PT_DIFFERENTIATION_VTAR,MATCH(A312,PT_DIFFERENTIATION_VTAR_ID,0))</f>
        <v>Тариф на подключение (технологическое присоединение) к централизованной системе водоотведения</v>
      </c>
      <c r="G312" s="2266" t="str">
        <f>INDEX(PT_DIFFERENTIATION_NTAR,MATCH(B312,PT_DIFFERENTIATION_NTAR_ID,0))</f>
        <v/>
      </c>
      <c r="H312" s="1905"/>
      <c r="I312" s="1779"/>
      <c r="J312" s="1814"/>
      <c r="K312" s="1819"/>
      <c r="L312" s="1905" t="s">
        <v>297</v>
      </c>
      <c r="M312" s="337"/>
      <c r="N312" s="330"/>
      <c r="O312" s="1664"/>
      <c r="P312" s="1664"/>
    </row>
    <row s="2950" customFormat="1" customHeight="1" ht="18.75" hidden="1">
      <c r="A313" s="1821"/>
      <c r="B313" s="1821"/>
      <c r="C313" s="369" t="s">
        <v>1064</v>
      </c>
      <c r="D313" s="2311"/>
      <c r="E313" s="2056"/>
      <c r="F313" s="2220"/>
      <c r="G313" s="2266"/>
      <c r="H313" s="1530"/>
      <c r="I313" s="657" t="s">
        <v>1063</v>
      </c>
      <c r="J313" s="577"/>
      <c r="K313" s="1530"/>
      <c r="L313" s="200"/>
      <c r="M313" s="337"/>
      <c r="N313" s="330"/>
      <c r="O313" s="1664"/>
      <c r="P313" s="1664"/>
    </row>
    <row s="2950" customFormat="1" customHeight="1" ht="0.75">
      <c r="A314" s="1821"/>
      <c r="B314" s="1821"/>
      <c r="C314" s="369" t="s">
        <v>1071</v>
      </c>
      <c r="D314" s="2311"/>
      <c r="E314" s="2056"/>
      <c r="F314" s="2220"/>
      <c r="G314" s="406"/>
      <c r="H314" s="1530"/>
      <c r="I314" s="657"/>
      <c r="J314" s="577"/>
      <c r="K314" s="1530"/>
      <c r="L314" s="200"/>
      <c r="M314" s="337"/>
      <c r="N314" s="330"/>
      <c r="O314" s="1664"/>
      <c r="P314" s="1664"/>
    </row>
    <row s="4612" customFormat="1" customHeight="1" ht="3">
      <c r="A315" s="1821"/>
      <c r="B315" s="1821"/>
      <c r="C315" s="1822"/>
      <c r="E315" s="408"/>
      <c r="F315" s="408"/>
      <c r="G315" s="408"/>
      <c r="H315" s="408"/>
      <c r="I315" s="408"/>
      <c r="J315" s="408"/>
      <c r="K315" s="408"/>
      <c r="L315" s="408"/>
      <c r="M315" s="408"/>
      <c r="O315" s="182"/>
      <c r="P315" s="182"/>
    </row>
    <row customHeight="1" ht="24.75">
      <c r="E316" s="188"/>
      <c r="F316" s="2106"/>
      <c r="G316" s="2106"/>
      <c r="H316" s="2106"/>
      <c r="I316" s="2106"/>
      <c r="J316" s="2106"/>
      <c r="K316" s="2106"/>
      <c r="L316" s="2106"/>
      <c r="M316" s="2106"/>
    </row>
  </sheetData>
  <sheetProtection formatColumns="0" formatRows="0" autoFilter="0" sort="0" insertRows="0" insertColumns="1" deleteRows="0" deleteColumns="0"/>
  <mergeCells count="408">
    <mergeCell ref="G300:G301"/>
    <mergeCell ref="G303:G304"/>
    <mergeCell ref="G306:G307"/>
    <mergeCell ref="G309:G310"/>
    <mergeCell ref="G312:G313"/>
    <mergeCell ref="G258:G259"/>
    <mergeCell ref="G261:G262"/>
    <mergeCell ref="G264:G265"/>
    <mergeCell ref="G267:G268"/>
    <mergeCell ref="G270:G271"/>
    <mergeCell ref="G273:G274"/>
    <mergeCell ref="G276:G277"/>
    <mergeCell ref="G279:G280"/>
    <mergeCell ref="G282:G283"/>
    <mergeCell ref="G87:G88"/>
    <mergeCell ref="G90:G91"/>
    <mergeCell ref="G93:G94"/>
    <mergeCell ref="G96:G97"/>
    <mergeCell ref="G99:G100"/>
    <mergeCell ref="G102:G103"/>
    <mergeCell ref="G105:G106"/>
    <mergeCell ref="G108:G109"/>
    <mergeCell ref="G111:G112"/>
    <mergeCell ref="G57:G58"/>
    <mergeCell ref="G60:G61"/>
    <mergeCell ref="G63:G64"/>
    <mergeCell ref="G66:G67"/>
    <mergeCell ref="G69:G70"/>
    <mergeCell ref="G72:G73"/>
    <mergeCell ref="G75:G76"/>
    <mergeCell ref="G78:G79"/>
    <mergeCell ref="G84:G85"/>
    <mergeCell ref="D312:D314"/>
    <mergeCell ref="E312:E314"/>
    <mergeCell ref="F312:F314"/>
    <mergeCell ref="M258:M261"/>
    <mergeCell ref="D306:D308"/>
    <mergeCell ref="E306:E308"/>
    <mergeCell ref="F306:F308"/>
    <mergeCell ref="D309:D311"/>
    <mergeCell ref="E309:E311"/>
    <mergeCell ref="F309:F311"/>
    <mergeCell ref="D300:D302"/>
    <mergeCell ref="E300:E302"/>
    <mergeCell ref="F300:F302"/>
    <mergeCell ref="D303:D305"/>
    <mergeCell ref="E303:E305"/>
    <mergeCell ref="F303:F305"/>
    <mergeCell ref="D294:D296"/>
    <mergeCell ref="E294:E296"/>
    <mergeCell ref="F294:F296"/>
    <mergeCell ref="D297:D299"/>
    <mergeCell ref="E297:E299"/>
    <mergeCell ref="F297:F299"/>
    <mergeCell ref="D288:D290"/>
    <mergeCell ref="E288:E290"/>
    <mergeCell ref="F288:F290"/>
    <mergeCell ref="D291:D293"/>
    <mergeCell ref="E291:E293"/>
    <mergeCell ref="F291:F293"/>
    <mergeCell ref="G288:G289"/>
    <mergeCell ref="G291:G292"/>
    <mergeCell ref="G294:G295"/>
    <mergeCell ref="G297:G298"/>
    <mergeCell ref="F267:F269"/>
    <mergeCell ref="D282:D284"/>
    <mergeCell ref="E282:E284"/>
    <mergeCell ref="F282:F284"/>
    <mergeCell ref="D285:D287"/>
    <mergeCell ref="E285:E287"/>
    <mergeCell ref="F285:F287"/>
    <mergeCell ref="D276:D278"/>
    <mergeCell ref="E276:E278"/>
    <mergeCell ref="F276:F278"/>
    <mergeCell ref="D279:D281"/>
    <mergeCell ref="E279:E281"/>
    <mergeCell ref="F279:F281"/>
    <mergeCell ref="G285:G286"/>
    <mergeCell ref="G245:G246"/>
    <mergeCell ref="G248:G249"/>
    <mergeCell ref="G251:G252"/>
    <mergeCell ref="G254:G255"/>
    <mergeCell ref="D239:D241"/>
    <mergeCell ref="E239:E241"/>
    <mergeCell ref="F239:F241"/>
    <mergeCell ref="D242:D244"/>
    <mergeCell ref="E242:E244"/>
    <mergeCell ref="F242:F244"/>
    <mergeCell ref="G242:G243"/>
    <mergeCell ref="D251:D253"/>
    <mergeCell ref="E251:E253"/>
    <mergeCell ref="F251:F253"/>
    <mergeCell ref="D254:D256"/>
    <mergeCell ref="E254:E256"/>
    <mergeCell ref="F254:F256"/>
    <mergeCell ref="D245:D247"/>
    <mergeCell ref="E245:E247"/>
    <mergeCell ref="F245:F247"/>
    <mergeCell ref="D248:D250"/>
    <mergeCell ref="E248:E250"/>
    <mergeCell ref="F248:F250"/>
    <mergeCell ref="D233:D235"/>
    <mergeCell ref="E233:E235"/>
    <mergeCell ref="F233:F235"/>
    <mergeCell ref="D236:D238"/>
    <mergeCell ref="E236:E238"/>
    <mergeCell ref="F236:F238"/>
    <mergeCell ref="G233:G234"/>
    <mergeCell ref="G236:G237"/>
    <mergeCell ref="G239:G240"/>
    <mergeCell ref="G221:G222"/>
    <mergeCell ref="G224:G225"/>
    <mergeCell ref="G227:G228"/>
    <mergeCell ref="G230:G231"/>
    <mergeCell ref="D215:D217"/>
    <mergeCell ref="E215:E217"/>
    <mergeCell ref="F215:F217"/>
    <mergeCell ref="D218:D220"/>
    <mergeCell ref="E218:E220"/>
    <mergeCell ref="F218:F220"/>
    <mergeCell ref="G218:G219"/>
    <mergeCell ref="D227:D229"/>
    <mergeCell ref="E227:E229"/>
    <mergeCell ref="F227:F229"/>
    <mergeCell ref="D230:D232"/>
    <mergeCell ref="E230:E232"/>
    <mergeCell ref="F230:F232"/>
    <mergeCell ref="D221:D223"/>
    <mergeCell ref="E221:E223"/>
    <mergeCell ref="F221:F223"/>
    <mergeCell ref="D224:D226"/>
    <mergeCell ref="E224:E226"/>
    <mergeCell ref="F224:F226"/>
    <mergeCell ref="D209:D211"/>
    <mergeCell ref="E209:E211"/>
    <mergeCell ref="F209:F211"/>
    <mergeCell ref="D212:D214"/>
    <mergeCell ref="E212:E214"/>
    <mergeCell ref="F212:F214"/>
    <mergeCell ref="G209:G210"/>
    <mergeCell ref="G212:G213"/>
    <mergeCell ref="G215:G216"/>
    <mergeCell ref="G190:G191"/>
    <mergeCell ref="G196:G197"/>
    <mergeCell ref="G200:G201"/>
    <mergeCell ref="G203:G204"/>
    <mergeCell ref="G206:G207"/>
    <mergeCell ref="D190:D192"/>
    <mergeCell ref="E190:E192"/>
    <mergeCell ref="F190:F192"/>
    <mergeCell ref="D193:D195"/>
    <mergeCell ref="E193:E195"/>
    <mergeCell ref="F193:F195"/>
    <mergeCell ref="G193:G194"/>
    <mergeCell ref="D203:D205"/>
    <mergeCell ref="E203:E205"/>
    <mergeCell ref="F203:F205"/>
    <mergeCell ref="D206:D208"/>
    <mergeCell ref="E206:E208"/>
    <mergeCell ref="F206:F208"/>
    <mergeCell ref="D196:D198"/>
    <mergeCell ref="E196:E198"/>
    <mergeCell ref="F196:F198"/>
    <mergeCell ref="D200:D202"/>
    <mergeCell ref="E200:E202"/>
    <mergeCell ref="F200:F202"/>
    <mergeCell ref="E175:E177"/>
    <mergeCell ref="F175:F177"/>
    <mergeCell ref="D184:D186"/>
    <mergeCell ref="E184:E186"/>
    <mergeCell ref="F184:F186"/>
    <mergeCell ref="D187:D189"/>
    <mergeCell ref="E187:E189"/>
    <mergeCell ref="F187:F189"/>
    <mergeCell ref="G184:G185"/>
    <mergeCell ref="G187:G188"/>
    <mergeCell ref="G160:G161"/>
    <mergeCell ref="G163:G164"/>
    <mergeCell ref="G166:G167"/>
    <mergeCell ref="G172:G173"/>
    <mergeCell ref="G175:G176"/>
    <mergeCell ref="G178:G179"/>
    <mergeCell ref="G181:G182"/>
    <mergeCell ref="D166:D168"/>
    <mergeCell ref="E166:E168"/>
    <mergeCell ref="F166:F168"/>
    <mergeCell ref="D169:D171"/>
    <mergeCell ref="E169:E171"/>
    <mergeCell ref="F169:F171"/>
    <mergeCell ref="G169:G170"/>
    <mergeCell ref="D178:D180"/>
    <mergeCell ref="E178:E180"/>
    <mergeCell ref="F178:F180"/>
    <mergeCell ref="D181:D183"/>
    <mergeCell ref="E181:E183"/>
    <mergeCell ref="F181:F183"/>
    <mergeCell ref="D172:D174"/>
    <mergeCell ref="E172:E174"/>
    <mergeCell ref="F172:F174"/>
    <mergeCell ref="D175:D177"/>
    <mergeCell ref="E148:E150"/>
    <mergeCell ref="F148:F150"/>
    <mergeCell ref="D151:D153"/>
    <mergeCell ref="E151:E153"/>
    <mergeCell ref="F151:F153"/>
    <mergeCell ref="D160:D162"/>
    <mergeCell ref="E160:E162"/>
    <mergeCell ref="F160:F162"/>
    <mergeCell ref="D163:D165"/>
    <mergeCell ref="E163:E165"/>
    <mergeCell ref="F163:F165"/>
    <mergeCell ref="G157:G158"/>
    <mergeCell ref="D145:D147"/>
    <mergeCell ref="E145:E147"/>
    <mergeCell ref="F145:F147"/>
    <mergeCell ref="D135:D137"/>
    <mergeCell ref="E135:E137"/>
    <mergeCell ref="F135:F137"/>
    <mergeCell ref="D138:D140"/>
    <mergeCell ref="E138:E140"/>
    <mergeCell ref="F138:F140"/>
    <mergeCell ref="D142:D144"/>
    <mergeCell ref="E142:E144"/>
    <mergeCell ref="F142:F144"/>
    <mergeCell ref="G135:G136"/>
    <mergeCell ref="G138:G139"/>
    <mergeCell ref="G142:G143"/>
    <mergeCell ref="G145:G146"/>
    <mergeCell ref="D154:D156"/>
    <mergeCell ref="E154:E156"/>
    <mergeCell ref="F154:F156"/>
    <mergeCell ref="D157:D159"/>
    <mergeCell ref="E157:E159"/>
    <mergeCell ref="F157:F159"/>
    <mergeCell ref="D148:D150"/>
    <mergeCell ref="D129:D131"/>
    <mergeCell ref="E129:E131"/>
    <mergeCell ref="F129:F131"/>
    <mergeCell ref="D132:D134"/>
    <mergeCell ref="E132:E134"/>
    <mergeCell ref="F132:F134"/>
    <mergeCell ref="D123:D125"/>
    <mergeCell ref="E123:E125"/>
    <mergeCell ref="F123:F125"/>
    <mergeCell ref="D126:D128"/>
    <mergeCell ref="E126:E128"/>
    <mergeCell ref="F126:F128"/>
    <mergeCell ref="D111:D113"/>
    <mergeCell ref="E111:E113"/>
    <mergeCell ref="F111:F113"/>
    <mergeCell ref="D114:D116"/>
    <mergeCell ref="E114:E116"/>
    <mergeCell ref="F114:F116"/>
    <mergeCell ref="G114:G115"/>
    <mergeCell ref="G117:G118"/>
    <mergeCell ref="G120:G121"/>
    <mergeCell ref="D117:D119"/>
    <mergeCell ref="E117:E119"/>
    <mergeCell ref="F117:F119"/>
    <mergeCell ref="D120:D122"/>
    <mergeCell ref="E120:E122"/>
    <mergeCell ref="F120:F122"/>
    <mergeCell ref="D105:D107"/>
    <mergeCell ref="E105:E107"/>
    <mergeCell ref="F105:F107"/>
    <mergeCell ref="D108:D110"/>
    <mergeCell ref="E108:E110"/>
    <mergeCell ref="F108:F110"/>
    <mergeCell ref="D99:D101"/>
    <mergeCell ref="E99:E101"/>
    <mergeCell ref="F99:F101"/>
    <mergeCell ref="D102:D104"/>
    <mergeCell ref="E102:E104"/>
    <mergeCell ref="F102:F104"/>
    <mergeCell ref="D69:D71"/>
    <mergeCell ref="E69:E71"/>
    <mergeCell ref="F69:F71"/>
    <mergeCell ref="F93:F95"/>
    <mergeCell ref="D96:D98"/>
    <mergeCell ref="E96:E98"/>
    <mergeCell ref="F96:F98"/>
    <mergeCell ref="D78:D80"/>
    <mergeCell ref="E78:E80"/>
    <mergeCell ref="F78:F80"/>
    <mergeCell ref="D84:D86"/>
    <mergeCell ref="E84:E86"/>
    <mergeCell ref="F84:F86"/>
    <mergeCell ref="D93:D95"/>
    <mergeCell ref="E93:E95"/>
    <mergeCell ref="F81:L81"/>
    <mergeCell ref="H82:I82"/>
    <mergeCell ref="F83:L83"/>
    <mergeCell ref="D72:D74"/>
    <mergeCell ref="E72:E74"/>
    <mergeCell ref="D75:D77"/>
    <mergeCell ref="E75:E77"/>
    <mergeCell ref="D90:D92"/>
    <mergeCell ref="E90:E92"/>
    <mergeCell ref="D45:D47"/>
    <mergeCell ref="E45:E47"/>
    <mergeCell ref="F45:F47"/>
    <mergeCell ref="D60:D62"/>
    <mergeCell ref="E60:E62"/>
    <mergeCell ref="F60:F62"/>
    <mergeCell ref="D63:D65"/>
    <mergeCell ref="E63:E65"/>
    <mergeCell ref="F63:F65"/>
    <mergeCell ref="D54:D56"/>
    <mergeCell ref="E54:E56"/>
    <mergeCell ref="F54:F56"/>
    <mergeCell ref="D57:D59"/>
    <mergeCell ref="E57:E59"/>
    <mergeCell ref="F57:F59"/>
    <mergeCell ref="D48:D50"/>
    <mergeCell ref="E48:E50"/>
    <mergeCell ref="D51:D53"/>
    <mergeCell ref="E51:E53"/>
    <mergeCell ref="G45:G46"/>
    <mergeCell ref="G48:G49"/>
    <mergeCell ref="G51:G52"/>
    <mergeCell ref="G54:G55"/>
    <mergeCell ref="M200:M203"/>
    <mergeCell ref="M84:M87"/>
    <mergeCell ref="F141:L141"/>
    <mergeCell ref="M142:M145"/>
    <mergeCell ref="F199:L199"/>
    <mergeCell ref="F48:F50"/>
    <mergeCell ref="F51:F53"/>
    <mergeCell ref="F72:F74"/>
    <mergeCell ref="F75:F77"/>
    <mergeCell ref="F87:F89"/>
    <mergeCell ref="F90:F92"/>
    <mergeCell ref="M24:M80"/>
    <mergeCell ref="G42:G43"/>
    <mergeCell ref="G123:G124"/>
    <mergeCell ref="G126:G127"/>
    <mergeCell ref="G129:G130"/>
    <mergeCell ref="G132:G133"/>
    <mergeCell ref="G148:G149"/>
    <mergeCell ref="G151:G152"/>
    <mergeCell ref="G154:G155"/>
    <mergeCell ref="D66:D68"/>
    <mergeCell ref="E66:E68"/>
    <mergeCell ref="F66:F68"/>
    <mergeCell ref="F316:M316"/>
    <mergeCell ref="F257:L257"/>
    <mergeCell ref="D258:D260"/>
    <mergeCell ref="E258:E260"/>
    <mergeCell ref="F258:F260"/>
    <mergeCell ref="D261:D263"/>
    <mergeCell ref="E261:E263"/>
    <mergeCell ref="F261:F263"/>
    <mergeCell ref="D264:D266"/>
    <mergeCell ref="D270:D272"/>
    <mergeCell ref="E270:E272"/>
    <mergeCell ref="F270:F272"/>
    <mergeCell ref="D273:D275"/>
    <mergeCell ref="E273:E275"/>
    <mergeCell ref="F273:F275"/>
    <mergeCell ref="E264:E266"/>
    <mergeCell ref="F264:F266"/>
    <mergeCell ref="D267:D269"/>
    <mergeCell ref="E267:E269"/>
    <mergeCell ref="D87:D89"/>
    <mergeCell ref="E87:E89"/>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s>
  <dataValidations count="4">
    <dataValidation type="decimal" allowBlank="1" showErrorMessage="1" errorTitle="Ошибка" error="Допускается ввод только действительных чисел!" sqref="K200 K203 K206 K209 K212 K215 K218 K221 K224 K227 K230 K233 K236 K239 K242 K245 K248 K251 K10 K84 K135 K132 K129 K126 K123 K120 K117 K114 K111 K108 K105 K102 K99 K96 K93 K90 K87 K142 K138 K145 K148 K151 K154 K157 K160 K163 K166 K169 K172 K175 K178 K184 K187 K190 K193 K196 K181 K254 K258 K261 K264 K267 K270 K273 K276 K279 K282 K285 K288 K291 K294 K297 K300 K303 K306 K309 K312 K5">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2:M143 M200:M201 M23 M84:M85 M258:M25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48:J48 I51:J51 I54:J54 I57:J57 I60:J60 I63:J63 I66:J66 I69:J69 I72:J72 I75:J75 I200:J200 I203:J203 I206:J206 I209:J209 I212:J212 I215:J215 I218:J218 I221:J221 I224:J224 I227:J227 I230:J230 I233:J233 I236:J236 I239:J239 I242:J242 I245:J245 I248:J248 I8:J8 I78:J78 I138:J138 I87:J87 I90:J90 I93:J93 I96:J96 I99:J99 I102:J102 I105:J105 I108:J108 I111:J111 I114:J114 I117:J117 I120:J120 I123:J123 I126:J126 I129:J129 I132:J132 I135:J135 I142:J142 I84:J84 I145:J145 I148:J148 I151:J151 I154:J154 I157:J157 I160:J160 I163:J163 I166:J166 I169:J169 I172:J172 I175:J175 I178:J178 I184:J184 I187:J187 I190:J190 I193:J193 I196:J196 I181:J181 I251:J251 I254:J254 I258:J258 I261:J261 I264:J264 I267:J267 I270:J270 I273:J273 I276:J276 I279:J279 I282:J282 I285:J285 I288:J288 I291:J291 I294:J294 I297:J297 I300:J300 I303:J303 I306:J306 I309:J309 I312:J312 I2:J2 I5:J5"/>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EFF908-039F-F443-1698-0A94431490DC}" mc:Ignorable="x14ac xr xr2 xr3">
  <sheetPr>
    <tabColor theme="6" tint="0.4"/>
  </sheetPr>
  <dimension ref="A1:Q16"/>
  <sheetViews>
    <sheetView topLeftCell="A1" showGridLines="0" zoomScale="90" workbookViewId="0">
      <selection activeCell="A1" sqref="A1"/>
    </sheetView>
  </sheetViews>
  <sheetFormatPr defaultColWidth="10.57421875" customHeight="1" defaultRowHeight="14.25"/>
  <cols>
    <col min="1" max="1" style="4664" width="9.140625" hidden="1" customWidth="1"/>
    <col min="2" max="2" style="4564" width="9.140625" hidden="1" customWidth="1"/>
    <col min="3" max="3" style="3372" width="3.7109375" customWidth="1"/>
    <col min="4" max="4" style="4651" width="6.28125" customWidth="1"/>
    <col min="5" max="5" style="4651" width="53.8515625" customWidth="1"/>
    <col min="6" max="7" style="4651" width="35.7109375" customWidth="1"/>
    <col min="8" max="8" style="4651" width="89.57421875" customWidth="1"/>
    <col min="9" max="9" style="4651" width="10.57421875"/>
    <col min="10" max="11" style="4567" width="10.57421875"/>
    <col min="12" max="17" style="4651" width="10.57421875"/>
  </cols>
  <sheetData>
    <row customHeight="1" ht="14.25" hidden="1">
      <c r="N1" s="241"/>
      <c r="O1" s="241"/>
      <c r="Q1" s="241"/>
    </row>
    <row s="2950" customFormat="1" customHeight="1" ht="18.75" hidden="1">
      <c r="A2" s="88"/>
      <c r="B2" s="1168"/>
      <c r="C2" s="1770" t="s">
        <v>438</v>
      </c>
      <c r="D2" s="1713"/>
      <c r="E2" s="1722"/>
      <c r="F2" s="243"/>
      <c r="G2" s="1169"/>
      <c r="H2" s="374"/>
      <c r="I2" s="1664"/>
      <c r="J2" s="1664"/>
    </row>
    <row customHeight="1" ht="14.25" hidden="1"/>
    <row customHeight="1" ht="6">
      <c r="C4" s="377"/>
      <c r="D4" s="361"/>
      <c r="E4" s="361"/>
      <c r="F4" s="361"/>
      <c r="G4" s="70"/>
      <c r="H4" s="70"/>
    </row>
    <row customHeight="1" ht="33">
      <c r="C5" s="377"/>
      <c r="D5" s="229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297"/>
      <c r="F5" s="2297"/>
      <c r="G5" s="2298"/>
      <c r="H5" s="252"/>
    </row>
    <row s="2950" customFormat="1" customHeight="1" ht="17.25">
      <c r="A6" s="1709"/>
      <c r="B6" s="1168"/>
      <c r="C6" s="377"/>
      <c r="D6" s="2299" t="str">
        <f>IF(org=0,"Не определено",org)</f>
        <v>МУП г. Азова "Теплоэнерго"</v>
      </c>
      <c r="E6" s="2300"/>
      <c r="F6" s="2300"/>
      <c r="G6" s="2301"/>
      <c r="H6" s="252"/>
      <c r="J6" s="1664"/>
      <c r="K6" s="1664"/>
    </row>
    <row customHeight="1" ht="14.25">
      <c r="C7" s="377"/>
      <c r="D7" s="361"/>
      <c r="E7" s="395"/>
      <c r="F7" s="395"/>
      <c r="G7" s="758"/>
      <c r="H7" s="179"/>
    </row>
    <row customHeight="1" ht="14.25">
      <c r="C8" s="377"/>
      <c r="D8" s="2062" t="s">
        <v>291</v>
      </c>
      <c r="E8" s="2062"/>
      <c r="F8" s="2062"/>
      <c r="G8" s="2062"/>
      <c r="H8" s="2302" t="s">
        <v>292</v>
      </c>
    </row>
    <row customHeight="1" ht="14.25">
      <c r="C9" s="377"/>
      <c r="D9" s="392" t="s">
        <v>87</v>
      </c>
      <c r="E9" s="94" t="s">
        <v>293</v>
      </c>
      <c r="F9" s="94" t="s">
        <v>294</v>
      </c>
      <c r="G9" s="94" t="s">
        <v>383</v>
      </c>
      <c r="H9" s="2302"/>
    </row>
    <row customHeight="1" ht="14.25">
      <c r="A10" s="339"/>
      <c r="C10" s="377"/>
      <c r="D10" s="133" t="s">
        <v>108</v>
      </c>
      <c r="E10" s="192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43"/>
      <c r="G10" s="199"/>
      <c r="H10" s="2015" t="s">
        <v>1072</v>
      </c>
    </row>
    <row customHeight="1" ht="14.25">
      <c r="A11" s="339"/>
      <c r="C11" s="377"/>
      <c r="D11" s="133" t="s">
        <v>109</v>
      </c>
      <c r="E11" s="192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43"/>
      <c r="G11" s="199"/>
      <c r="H11" s="2016"/>
    </row>
    <row customHeight="1" ht="14.25">
      <c r="A12" s="88"/>
      <c r="C12" s="393"/>
      <c r="D12" s="133" t="s">
        <v>89</v>
      </c>
      <c r="E12" s="394" t="str">
        <f>"Сведения о планировании закупочных процедур"&amp;IF(TEMPLATE_SPHERE="TKO"," &lt;1&gt;","")</f>
        <v>Сведения о планировании закупочных процедур</v>
      </c>
      <c r="F12" s="243"/>
      <c r="G12" s="199"/>
      <c r="H12" s="2016"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46"/>
      <c r="K12" s="374"/>
    </row>
    <row customHeight="1" ht="14.25">
      <c r="A13" s="88"/>
      <c r="C13" s="393"/>
      <c r="D13" s="133" t="s">
        <v>90</v>
      </c>
      <c r="E13" s="394" t="str">
        <f>"Сведения о результатах проведения закупочных процедур"&amp;IF(TEMPLATE_SPHERE="TKO"," &lt;1&gt;","")</f>
        <v>Сведения о результатах проведения закупочных процедур</v>
      </c>
      <c r="F13" s="243"/>
      <c r="G13" s="199"/>
      <c r="H13" s="2016"/>
      <c r="I13" s="346"/>
      <c r="K13" s="374"/>
    </row>
    <row customHeight="1" ht="14.25">
      <c r="A14" s="339"/>
      <c r="C14" s="377"/>
      <c r="D14" s="343"/>
      <c r="E14" s="401" t="s">
        <v>1024</v>
      </c>
      <c r="F14" s="345"/>
      <c r="G14" s="187"/>
      <c r="H14" s="2017"/>
    </row>
    <row s="2950" customFormat="1" customHeight="1" ht="14.25">
      <c r="A15" s="339"/>
      <c r="B15" s="1168"/>
      <c r="C15" s="377"/>
      <c r="D15" s="402"/>
      <c r="E15" s="1717"/>
      <c r="F15" s="1718"/>
      <c r="G15" s="1719"/>
      <c r="H15" s="1720"/>
      <c r="J15" s="1664"/>
      <c r="K15" s="1664"/>
    </row>
    <row customHeight="1" ht="14.25">
      <c r="D16" s="1721"/>
      <c r="E16" s="2233"/>
      <c r="F16" s="2233"/>
      <c r="G16" s="2233"/>
      <c r="H16" s="2233"/>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CB4B02-67A8-7502-544E-B3689FEBABF4}" mc:Ignorable="x14ac xr xr2 xr3">
  <sheetPr>
    <tabColor theme="2" tint="-0.1"/>
  </sheetPr>
  <dimension ref="A1:U29"/>
  <sheetViews>
    <sheetView topLeftCell="A1" showGridLines="0" zoomScale="90" workbookViewId="0">
      <selection activeCell="A1" sqref="A1"/>
    </sheetView>
  </sheetViews>
  <sheetFormatPr defaultColWidth="10.57421875" customHeight="1" defaultRowHeight="15"/>
  <cols>
    <col min="1" max="1" style="3152" width="9.140625" hidden="1" customWidth="1"/>
    <col min="2" max="2" style="3154" width="9.140625" hidden="1" customWidth="1"/>
    <col min="3" max="3" style="4342" width="4.7109375" customWidth="1"/>
    <col min="4" max="4" style="3154" width="6.28125" customWidth="1"/>
    <col min="5" max="5" style="3154" width="47.8515625" customWidth="1"/>
    <col min="6" max="6" style="3154" width="9.57421875" customWidth="1"/>
    <col min="7" max="7" style="2624" width="25.7109375" hidden="1" customWidth="1"/>
    <col min="8" max="8" style="2624" width="34.00390625" hidden="1" customWidth="1"/>
    <col min="9" max="9" style="3154" width="25.7109375" customWidth="1"/>
    <col min="10" max="10" style="3154" width="34.00390625" customWidth="1"/>
    <col min="11" max="11" style="2625" width="50.8515625" customWidth="1"/>
    <col min="12" max="20" style="3154" width="10.57421875"/>
    <col min="21" max="21" style="4276" width="10.57421875"/>
  </cols>
  <sheetData>
    <row s="2625" customFormat="1" customHeight="1" ht="15" hidden="1">
      <c r="C1" s="678"/>
      <c r="G1" s="423">
        <v>4</v>
      </c>
      <c r="I1" s="423">
        <v>4</v>
      </c>
      <c r="U1" s="426"/>
    </row>
    <row s="2628" customFormat="1" customHeight="1" ht="15" hidden="1">
      <c r="A2" s="360"/>
      <c r="C2" s="162"/>
      <c r="D2" s="342"/>
      <c r="E2" s="679"/>
      <c r="F2" s="528"/>
      <c r="G2" s="622"/>
      <c r="H2" s="622"/>
      <c r="I2" s="622"/>
      <c r="J2" s="622"/>
      <c r="U2" s="680"/>
    </row>
    <row s="2625" customFormat="1" customHeight="1" ht="15" hidden="1">
      <c r="C3" s="678"/>
      <c r="U3" s="426"/>
    </row>
    <row customHeight="1" ht="15">
      <c r="C4" s="162"/>
      <c r="D4" s="515"/>
      <c r="E4" s="515"/>
      <c r="F4" s="515"/>
      <c r="G4" s="515"/>
      <c r="H4" s="515"/>
      <c r="I4" s="515"/>
      <c r="J4" s="515"/>
    </row>
    <row customHeight="1" ht="63">
      <c r="C5" s="162"/>
      <c r="D5" s="2085" t="s">
        <v>1073</v>
      </c>
      <c r="E5" s="2085"/>
      <c r="F5" s="2085"/>
      <c r="G5" s="2085"/>
      <c r="H5" s="2085"/>
      <c r="I5" s="2085"/>
      <c r="J5" s="2085"/>
    </row>
    <row customHeight="1" ht="15">
      <c r="C6" s="162"/>
      <c r="D6" s="2053" t="str">
        <f>IF(org=0,"Не определено",org)</f>
        <v>МУП г. Азова "Теплоэнерго"</v>
      </c>
      <c r="E6" s="2053"/>
      <c r="F6" s="2053"/>
      <c r="G6" s="2053"/>
      <c r="H6" s="2053"/>
      <c r="I6" s="2053"/>
      <c r="J6" s="2053"/>
      <c r="K6" s="543"/>
    </row>
    <row customHeight="1" ht="15">
      <c r="C7" s="162"/>
      <c r="D7" s="758"/>
      <c r="E7" s="515"/>
      <c r="F7" s="515"/>
      <c r="G7" s="543">
        <v>22</v>
      </c>
      <c r="I7" s="543">
        <v>1</v>
      </c>
      <c r="J7" s="758"/>
    </row>
    <row s="2624" customFormat="1" customHeight="1" ht="0.75">
      <c r="A8" s="765"/>
      <c r="C8" s="162"/>
      <c r="D8" s="515"/>
      <c r="E8" s="515"/>
      <c r="F8" s="515"/>
      <c r="G8" s="543"/>
      <c r="H8" s="758"/>
      <c r="I8" s="543" t="s">
        <v>116</v>
      </c>
      <c r="J8" s="758"/>
      <c r="K8" s="423"/>
      <c r="U8" s="681"/>
    </row>
    <row customHeight="1" ht="15">
      <c r="C9" s="162"/>
      <c r="D9" s="717"/>
      <c r="E9" s="2213" t="s">
        <v>104</v>
      </c>
      <c r="F9" s="2214"/>
      <c r="G9" s="2236" t="str">
        <f>IF(G8="","",INDEX(DIFFERENTIATION_UNMERGE_VD,MATCH(G8,DIFFERENTIATION_ID_DIFF,0)))</f>
        <v/>
      </c>
      <c r="H9" s="2237"/>
      <c r="I9" s="2236">
        <f>IF(I8="","",INDEX(DIFFERENTIATION_UNMERGE_VD,MATCH(I8,DIFFERENTIATION_ID_DIFF,0)))</f>
        <v>0</v>
      </c>
      <c r="J9" s="2237"/>
      <c r="K9" s="2028" t="s">
        <v>292</v>
      </c>
    </row>
    <row s="2624" customFormat="1" customHeight="1" ht="15">
      <c r="A10" s="765"/>
      <c r="C10" s="162"/>
      <c r="D10" s="717"/>
      <c r="E10" s="2213" t="s">
        <v>551</v>
      </c>
      <c r="F10" s="2214"/>
      <c r="G10" s="2236" t="str">
        <f>IF(G8="","",INDEX(DIFFERENTIATION_UNMERGE_AREA,MATCH(G8,DIFFERENTIATION_ID_DIFF,0)))</f>
        <v/>
      </c>
      <c r="H10" s="2237"/>
      <c r="I10" s="2236" t="str">
        <f>IF(I8="","",INDEX(DIFFERENTIATION_UNMERGE_AREA,MATCH(I8,DIFFERENTIATION_ID_DIFF,0)))</f>
        <v/>
      </c>
      <c r="J10" s="2237"/>
      <c r="K10" s="2036"/>
      <c r="U10" s="681"/>
    </row>
    <row s="2624" customFormat="1" customHeight="1" ht="15">
      <c r="A11" s="765"/>
      <c r="C11" s="162"/>
      <c r="D11" s="717"/>
      <c r="E11" s="2213" t="s">
        <v>552</v>
      </c>
      <c r="F11" s="2214"/>
      <c r="G11" s="2236" t="str">
        <f>IF(G8="","",INDEX(DIFFERENTIATION_UNMERGE_SYSTEM,MATCH(G8,DIFFERENTIATION_ID_DIFF,0)))</f>
        <v/>
      </c>
      <c r="H11" s="2237"/>
      <c r="I11" s="2236" t="str">
        <f>IF(I8="","",INDEX(DIFFERENTIATION_UNMERGE_SYSTEM,MATCH(I8,DIFFERENTIATION_ID_DIFF,0)))</f>
        <v>без дифференциации</v>
      </c>
      <c r="J11" s="2237"/>
      <c r="K11" s="2036"/>
      <c r="U11" s="681"/>
    </row>
    <row s="2624" customFormat="1" customHeight="1" ht="15">
      <c r="A12" s="765"/>
      <c r="C12" s="162"/>
      <c r="D12" s="2215" t="s">
        <v>291</v>
      </c>
      <c r="E12" s="2216"/>
      <c r="F12" s="2216"/>
      <c r="G12" s="893"/>
      <c r="H12" s="893"/>
      <c r="I12" s="893"/>
      <c r="J12" s="893"/>
      <c r="K12" s="2036"/>
      <c r="U12" s="681"/>
    </row>
    <row customHeight="1" ht="33.75">
      <c r="C13" s="162"/>
      <c r="D13" s="811" t="s">
        <v>87</v>
      </c>
      <c r="E13" s="813" t="s">
        <v>293</v>
      </c>
      <c r="F13" s="813" t="s">
        <v>553</v>
      </c>
      <c r="G13" s="814" t="s">
        <v>294</v>
      </c>
      <c r="H13" s="813" t="s">
        <v>383</v>
      </c>
      <c r="I13" s="814" t="s">
        <v>294</v>
      </c>
      <c r="J13" s="813" t="s">
        <v>383</v>
      </c>
      <c r="K13" s="2090"/>
    </row>
    <row customHeight="1" ht="15" hidden="1">
      <c r="C14" s="162"/>
      <c r="D14" s="599" t="s">
        <v>108</v>
      </c>
      <c r="E14" s="599" t="s">
        <v>109</v>
      </c>
      <c r="F14" s="599" t="s">
        <v>89</v>
      </c>
      <c r="G14" s="665" t="str">
        <f>G1&amp;".1"</f>
        <v>4.1</v>
      </c>
      <c r="H14" s="665"/>
      <c r="I14" s="665" t="str">
        <f>I1&amp;".1"</f>
        <v>4.1</v>
      </c>
      <c r="J14" s="665"/>
      <c r="K14" s="277"/>
    </row>
    <row customHeight="1" ht="22.5" hidden="1">
      <c r="A15" s="511"/>
      <c r="C15" s="532"/>
      <c r="D15" s="527">
        <v>1</v>
      </c>
      <c r="E15" s="683" t="s">
        <v>710</v>
      </c>
      <c r="F15" s="527" t="s">
        <v>711</v>
      </c>
      <c r="G15" s="684"/>
      <c r="H15" s="684"/>
      <c r="I15" s="684"/>
      <c r="J15" s="684"/>
      <c r="K15" s="277" t="s">
        <v>712</v>
      </c>
    </row>
    <row customHeight="1" ht="22.5" hidden="1">
      <c r="A16" s="511"/>
      <c r="C16" s="532"/>
      <c r="D16" s="527">
        <v>2</v>
      </c>
      <c r="E16" s="267" t="s">
        <v>713</v>
      </c>
      <c r="F16" s="527" t="s">
        <v>714</v>
      </c>
      <c r="G16" s="684"/>
      <c r="H16" s="684"/>
      <c r="I16" s="684"/>
      <c r="J16" s="684"/>
      <c r="K16" s="277" t="s">
        <v>715</v>
      </c>
    </row>
    <row customHeight="1" ht="123.75" hidden="1">
      <c r="A17" s="511"/>
      <c r="C17" s="532"/>
      <c r="D17" s="527">
        <v>3</v>
      </c>
      <c r="E17" s="267" t="s">
        <v>1074</v>
      </c>
      <c r="F17" s="527" t="s">
        <v>297</v>
      </c>
      <c r="G17" s="684"/>
      <c r="H17" s="684"/>
      <c r="I17" s="684"/>
      <c r="J17" s="684"/>
      <c r="K17" s="277" t="s">
        <v>1075</v>
      </c>
    </row>
    <row customHeight="1" ht="45">
      <c r="A18" s="511"/>
      <c r="C18" s="532"/>
      <c r="D18" s="527">
        <v>4</v>
      </c>
      <c r="E18" s="267" t="s">
        <v>716</v>
      </c>
      <c r="F18" s="527" t="s">
        <v>297</v>
      </c>
      <c r="G18" s="815" t="s">
        <v>297</v>
      </c>
      <c r="H18" s="816" t="s">
        <v>297</v>
      </c>
      <c r="I18" s="527" t="s">
        <v>297</v>
      </c>
      <c r="J18" s="584" t="s">
        <v>297</v>
      </c>
      <c r="K18" s="277" t="s">
        <v>1076</v>
      </c>
    </row>
    <row customHeight="1" ht="33.75">
      <c r="A19" s="511"/>
      <c r="C19" s="532"/>
      <c r="D19" s="545" t="s">
        <v>654</v>
      </c>
      <c r="E19" s="565" t="s">
        <v>718</v>
      </c>
      <c r="F19" s="527" t="s">
        <v>719</v>
      </c>
      <c r="G19" s="823"/>
      <c r="H19" s="92"/>
      <c r="I19" s="823"/>
      <c r="J19" s="824"/>
      <c r="K19" s="685"/>
    </row>
    <row customHeight="1" ht="33.75">
      <c r="A20" s="511"/>
      <c r="C20" s="532"/>
      <c r="D20" s="545" t="s">
        <v>697</v>
      </c>
      <c r="E20" s="565" t="s">
        <v>720</v>
      </c>
      <c r="F20" s="527" t="s">
        <v>721</v>
      </c>
      <c r="G20" s="823"/>
      <c r="H20" s="92"/>
      <c r="I20" s="823"/>
      <c r="J20" s="92"/>
      <c r="K20" s="685"/>
    </row>
    <row customHeight="1" ht="45">
      <c r="A21" s="511"/>
      <c r="C21" s="532"/>
      <c r="D21" s="545" t="s">
        <v>700</v>
      </c>
      <c r="E21" s="565" t="s">
        <v>722</v>
      </c>
      <c r="F21" s="527" t="s">
        <v>558</v>
      </c>
      <c r="G21" s="686"/>
      <c r="H21" s="92"/>
      <c r="I21" s="686"/>
      <c r="J21" s="92"/>
      <c r="K21" s="685"/>
    </row>
    <row customHeight="1" ht="67.5" hidden="1">
      <c r="A22" s="511"/>
      <c r="C22" s="532"/>
      <c r="D22" s="527">
        <v>5</v>
      </c>
      <c r="E22" s="267" t="s">
        <v>1077</v>
      </c>
      <c r="F22" s="527" t="s">
        <v>545</v>
      </c>
      <c r="G22" s="687"/>
      <c r="H22" s="688"/>
      <c r="I22" s="687"/>
      <c r="J22" s="688"/>
      <c r="K22" s="277" t="s">
        <v>1078</v>
      </c>
    </row>
    <row customHeight="1" ht="33.75" hidden="1">
      <c r="C23" s="457"/>
      <c r="D23" s="527">
        <v>6</v>
      </c>
      <c r="E23" s="267" t="s">
        <v>1079</v>
      </c>
      <c r="F23" s="527" t="s">
        <v>1080</v>
      </c>
      <c r="G23" s="687"/>
      <c r="H23" s="687"/>
      <c r="I23" s="687"/>
      <c r="J23" s="687"/>
      <c r="K23" s="277" t="s">
        <v>1081</v>
      </c>
    </row>
    <row r="29" customHeight="1" ht="15">
      <c r="J29" s="825"/>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E82FCC-5D08-F1E8-64D1-3248787AB5AA}" mc:Ignorable="x14ac xr xr2 xr3">
  <sheetPr>
    <tabColor rgb="FFEAEBEE"/>
    <pageSetUpPr fitToPage="1"/>
  </sheetPr>
  <dimension ref="A1:L15"/>
  <sheetViews>
    <sheetView topLeftCell="A1" showGridLines="0" zoomScale="90" workbookViewId="0">
      <selection activeCell="A1" sqref="A1"/>
    </sheetView>
  </sheetViews>
  <sheetFormatPr defaultColWidth="9.140625" customHeight="1" defaultRowHeight="14.25"/>
  <cols>
    <col min="1" max="1" style="4678" width="9.140625" hidden="1"/>
    <col min="2" max="2" style="4679" width="9.140625" hidden="1"/>
    <col min="3" max="3" style="4680" width="3.7109375" customWidth="1"/>
    <col min="4" max="4" style="4692" width="7.00390625" customWidth="1"/>
    <col min="5" max="5" style="4692" width="23.140625" customWidth="1"/>
    <col min="6" max="6" style="4692" width="16.00390625" customWidth="1"/>
    <col min="7" max="7" style="4692" width="14.8515625" customWidth="1"/>
    <col min="8" max="8" style="4692" width="47.8515625" customWidth="1"/>
    <col min="9" max="9" style="4692" width="115.7109375" customWidth="1"/>
    <col min="10" max="10" style="4692" width="3.7109375" customWidth="1"/>
    <col min="11" max="12" style="4692" width="9.140625"/>
  </cols>
  <sheetData>
    <row customHeight="1" ht="14.25" hidden="1"/>
    <row customHeight="1" ht="14.25" hidden="1"/>
    <row customHeight="1" ht="14.25" hidden="1"/>
    <row customHeight="1" ht="3"/>
    <row s="2688" customFormat="1" customHeight="1" ht="30">
      <c r="A5" s="101"/>
      <c r="C5" s="75"/>
      <c r="D5" s="1954" t="s">
        <v>1082</v>
      </c>
      <c r="E5" s="1954"/>
      <c r="F5" s="1954"/>
      <c r="G5" s="1954"/>
      <c r="H5" s="1954"/>
      <c r="I5" s="251"/>
    </row>
    <row customHeight="1" ht="3" hidden="1">
      <c r="D6" s="108"/>
      <c r="E6" s="108"/>
      <c r="F6" s="108"/>
      <c r="G6" s="108"/>
      <c r="H6" s="108"/>
      <c r="I6" s="108"/>
    </row>
    <row s="4678" customFormat="1" customHeight="1" ht="14.25">
      <c r="B7" s="105"/>
      <c r="C7" s="106"/>
      <c r="D7" s="109"/>
      <c r="E7" s="109"/>
      <c r="F7" s="109"/>
      <c r="G7" s="109"/>
      <c r="H7" s="758"/>
      <c r="I7" s="109"/>
      <c r="J7" s="110"/>
    </row>
    <row customHeight="1" ht="14.25">
      <c r="D8" s="2062" t="s">
        <v>291</v>
      </c>
      <c r="E8" s="2062"/>
      <c r="F8" s="2062"/>
      <c r="G8" s="2062"/>
      <c r="H8" s="2062"/>
      <c r="I8" s="2062" t="s">
        <v>292</v>
      </c>
    </row>
    <row customHeight="1" ht="27.75">
      <c r="D9" s="2062" t="s">
        <v>87</v>
      </c>
      <c r="E9" s="2062" t="s">
        <v>1083</v>
      </c>
      <c r="F9" s="2062"/>
      <c r="G9" s="2062"/>
      <c r="H9" s="2062"/>
      <c r="I9" s="2062"/>
    </row>
    <row customHeight="1" ht="22.5">
      <c r="D10" s="2062"/>
      <c r="E10" s="113" t="s">
        <v>1084</v>
      </c>
      <c r="F10" s="113" t="s">
        <v>1085</v>
      </c>
      <c r="G10" s="113" t="s">
        <v>1086</v>
      </c>
      <c r="H10" s="113" t="s">
        <v>383</v>
      </c>
      <c r="I10" s="2062"/>
    </row>
    <row customHeight="1" ht="12" hidden="1">
      <c r="D11" s="72" t="s">
        <v>108</v>
      </c>
      <c r="E11" s="72" t="s">
        <v>90</v>
      </c>
      <c r="F11" s="72" t="s">
        <v>110</v>
      </c>
      <c r="G11" s="72" t="s">
        <v>91</v>
      </c>
      <c r="H11" s="72" t="s">
        <v>92</v>
      </c>
      <c r="I11" s="72" t="s">
        <v>111</v>
      </c>
    </row>
    <row s="4684" customFormat="1" customHeight="1" ht="24.75">
      <c r="A12" s="131" t="s">
        <v>89</v>
      </c>
      <c r="B12" s="111" t="s">
        <v>24</v>
      </c>
      <c r="C12" s="112"/>
      <c r="D12" s="114" t="s">
        <v>108</v>
      </c>
      <c r="E12" s="387"/>
      <c r="F12" s="387"/>
      <c r="G12" s="1774" t="s">
        <v>24</v>
      </c>
      <c r="H12" s="388"/>
      <c r="I12" s="2015" t="s">
        <v>1087</v>
      </c>
      <c r="K12" s="258"/>
      <c r="L12" s="259"/>
    </row>
    <row customHeight="1" ht="15">
      <c r="A13" s="107"/>
      <c r="B13" s="107"/>
      <c r="C13" s="107"/>
      <c r="D13" s="95"/>
      <c r="E13" s="116" t="s">
        <v>462</v>
      </c>
      <c r="F13" s="115"/>
      <c r="G13" s="115"/>
      <c r="H13" s="200"/>
      <c r="I13" s="2017"/>
    </row>
    <row customHeight="1" ht="3">
      <c r="A14" s="107"/>
      <c r="B14" s="107"/>
      <c r="C14" s="107"/>
    </row>
    <row customHeight="1" ht="27.75">
      <c r="E15" s="2314" t="s">
        <v>1088</v>
      </c>
      <c r="F15" s="2314"/>
      <c r="G15" s="2314"/>
      <c r="H15" s="2314"/>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617E06-7708-779F-FFA1-16B6FF6CD898}" mc:Ignorable="x14ac xr xr2 xr3">
  <sheetPr>
    <tabColor rgb="FFCCCCFF"/>
    <pageSetUpPr fitToPage="1"/>
  </sheetPr>
  <dimension ref="A1:I15"/>
  <sheetViews>
    <sheetView topLeftCell="A1" showGridLines="0" zoomScale="90" workbookViewId="0">
      <selection activeCell="A1" sqref="A1"/>
    </sheetView>
  </sheetViews>
  <sheetFormatPr defaultColWidth="9.140625" customHeight="1" defaultRowHeight="14.25"/>
  <cols>
    <col min="1" max="2" style="4712" width="9.140625" hidden="1"/>
    <col min="3" max="3" style="4713" width="3.7109375" customWidth="1"/>
    <col min="4" max="4" style="4712" width="6.28125" customWidth="1"/>
    <col min="5" max="5" style="4712" width="94.8515625" customWidth="1"/>
    <col min="6" max="9" style="4712" width="9.140625"/>
  </cols>
  <sheetData>
    <row customHeight="1" ht="14.25" hidden="1"/>
    <row customHeight="1" ht="14.25" hidden="1"/>
    <row customHeight="1" ht="14.25" hidden="1"/>
    <row customHeight="1" ht="14.25" hidden="1"/>
    <row customHeight="1" ht="14.25" hidden="1"/>
    <row customHeight="1" ht="3">
      <c r="C6" s="77"/>
      <c r="D6" s="55"/>
      <c r="E6" s="55"/>
    </row>
    <row customHeight="1" ht="22.5">
      <c r="C7" s="77"/>
      <c r="D7" s="2315" t="s">
        <v>1089</v>
      </c>
      <c r="E7" s="2316"/>
      <c r="F7" s="253"/>
    </row>
    <row customHeight="1" ht="3">
      <c r="C8" s="77"/>
      <c r="D8" s="55"/>
      <c r="E8" s="55"/>
    </row>
    <row customHeight="1" ht="15.75">
      <c r="C9" s="77"/>
      <c r="D9" s="91" t="s">
        <v>87</v>
      </c>
      <c r="E9" s="246" t="s">
        <v>1090</v>
      </c>
    </row>
    <row customHeight="1" ht="0.75">
      <c r="C10" s="77"/>
      <c r="D10" s="72"/>
      <c r="E10" s="72"/>
    </row>
    <row customHeight="1" ht="11.25" hidden="1">
      <c r="C11" s="77"/>
      <c r="D11" s="136">
        <v>0</v>
      </c>
      <c r="E11" s="247"/>
    </row>
    <row customHeight="1" ht="15">
      <c r="C12" s="122"/>
      <c r="D12" s="99">
        <v>1</v>
      </c>
      <c r="E12" s="380"/>
    </row>
    <row customHeight="1" ht="12">
      <c r="C13" s="77"/>
      <c r="D13" s="248"/>
      <c r="E13" s="249" t="s">
        <v>1091</v>
      </c>
    </row>
    <row customHeight="1" ht="3"/>
    <row customHeight="1" ht="22.5">
      <c r="C15" s="123"/>
      <c r="D15" s="2317" t="s">
        <v>1092</v>
      </c>
      <c r="E15" s="2317"/>
      <c r="F15" s="124"/>
      <c r="G15" s="124"/>
      <c r="H15" s="124"/>
      <c r="I15" s="124"/>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A35B4C-DD58-2128-3168-D3260716C7D8}" mc:Ignorable="x14ac xr xr2 xr3">
  <dimension ref="A1:I24"/>
  <sheetViews>
    <sheetView topLeftCell="A1" showGridLines="0" zoomScale="90" workbookViewId="0">
      <selection activeCell="A1" sqref="A1"/>
    </sheetView>
  </sheetViews>
  <sheetFormatPr defaultColWidth="9.140625" customHeight="1" defaultRowHeight="11.25"/>
  <cols>
    <col min="1" max="2" style="3010" width="15.00390625" hidden="1" customWidth="1"/>
    <col min="3" max="3" style="3088" width="3.7109375" customWidth="1"/>
    <col min="4" max="4" style="3089" width="6.8515625" customWidth="1"/>
    <col min="5" max="5" style="3088" width="52.28125" customWidth="1"/>
    <col min="6" max="6" style="3088" width="48.8515625" customWidth="1"/>
    <col min="7" max="7" style="3088" width="93.421875" customWidth="1"/>
    <col min="8" max="8" style="3088" width="9.140625"/>
    <col min="9" max="9" style="3088" width="65.00390625" customWidth="1"/>
  </cols>
  <sheetData>
    <row customHeight="1" ht="11.25" hidden="1">
      <c r="A1" s="507" t="s">
        <v>290</v>
      </c>
    </row>
    <row customHeight="1" ht="22.5" hidden="1">
      <c r="A2" s="508"/>
      <c r="B2" s="508"/>
      <c r="C2" s="463"/>
      <c r="D2" s="1550"/>
      <c r="E2" s="1556"/>
      <c r="F2" s="1586"/>
      <c r="H2" s="481"/>
    </row>
    <row customHeight="1" ht="11.25" hidden="1"/>
    <row customHeight="1" ht="11.25">
      <c r="A4" s="1587"/>
      <c r="B4" s="1587"/>
    </row>
    <row customHeight="1" ht="24">
      <c r="D5" s="2091" t="str">
        <f>"Форма 1. Информация об органе регулирования тарифов в сфере "&amp;TEMPLATE_SPHERE_RUS&amp;" (далее – орган регулирования тарифов)"</f>
        <v>Форма 1. Информация об органе регулирования тарифов в сфере теплоснабжения (далее – орган регулирования тарифов)</v>
      </c>
      <c r="E5" s="2092"/>
      <c r="F5" s="2093"/>
      <c r="I5" s="721"/>
    </row>
    <row customHeight="1" ht="17.25">
      <c r="D6" s="2053" t="str">
        <f>IF(region_name=0,"Не определено",region_name)</f>
        <v>Ростовская область</v>
      </c>
      <c r="E6" s="2053"/>
      <c r="F6" s="2053"/>
      <c r="I6" s="721"/>
    </row>
    <row s="3009" customFormat="1" customHeight="1" ht="11.25">
      <c r="A7" s="507"/>
      <c r="B7" s="507"/>
      <c r="D7" s="720"/>
      <c r="E7" s="720"/>
      <c r="F7" s="758"/>
      <c r="G7" s="720"/>
    </row>
    <row customHeight="1" ht="11.25" hidden="1">
      <c r="A8" s="508"/>
      <c r="B8" s="508"/>
      <c r="C8" s="463"/>
      <c r="D8" s="469"/>
      <c r="E8" s="2060"/>
      <c r="F8" s="2060"/>
    </row>
    <row customHeight="1" ht="11.25">
      <c r="A9" s="508"/>
      <c r="B9" s="508"/>
      <c r="C9" s="463"/>
      <c r="D9" s="2056" t="s">
        <v>291</v>
      </c>
      <c r="E9" s="2057"/>
      <c r="F9" s="2057"/>
      <c r="G9" s="2061" t="s">
        <v>292</v>
      </c>
    </row>
    <row customHeight="1" ht="11.25">
      <c r="A10" s="508"/>
      <c r="B10" s="508"/>
      <c r="C10" s="463"/>
      <c r="D10" s="1504" t="s">
        <v>87</v>
      </c>
      <c r="E10" s="1506" t="s">
        <v>293</v>
      </c>
      <c r="F10" s="1506" t="s">
        <v>294</v>
      </c>
      <c r="G10" s="2062"/>
    </row>
    <row customHeight="1" ht="0.75">
      <c r="A11" s="508"/>
      <c r="B11" s="508"/>
      <c r="C11" s="463"/>
      <c r="D11" s="470"/>
      <c r="E11" s="470"/>
      <c r="F11" s="470"/>
      <c r="G11" s="470"/>
    </row>
    <row customHeight="1" ht="22.5">
      <c r="A12" s="508"/>
      <c r="B12" s="508"/>
      <c r="C12" s="463"/>
      <c r="D12" s="1550">
        <v>1</v>
      </c>
      <c r="E12" s="480" t="s">
        <v>1093</v>
      </c>
      <c r="F12" s="1902" t="str">
        <f>IF(org="","",org)</f>
        <v>МУП г. Азова "Теплоэнерго"</v>
      </c>
      <c r="G12" s="480" t="s">
        <v>1094</v>
      </c>
      <c r="H12" s="1563"/>
    </row>
    <row customHeight="1" ht="18.75">
      <c r="A13" s="508"/>
      <c r="B13" s="508"/>
      <c r="C13" s="463"/>
      <c r="D13" s="1550">
        <v>2</v>
      </c>
      <c r="E13" s="1557" t="s">
        <v>1095</v>
      </c>
      <c r="F13" s="1551" t="s">
        <v>297</v>
      </c>
      <c r="G13" s="480"/>
      <c r="H13" s="1563"/>
    </row>
    <row customHeight="1" ht="18.75">
      <c r="A14" s="508"/>
      <c r="B14" s="508"/>
      <c r="C14" s="463"/>
      <c r="D14" s="1553" t="s">
        <v>609</v>
      </c>
      <c r="E14" s="1554" t="s">
        <v>1096</v>
      </c>
      <c r="F14" s="1556"/>
      <c r="G14" s="1555" t="s">
        <v>1097</v>
      </c>
      <c r="H14" s="1563"/>
    </row>
    <row customHeight="1" ht="18.75">
      <c r="A15" s="508"/>
      <c r="B15" s="508"/>
      <c r="C15" s="463"/>
      <c r="D15" s="1553" t="s">
        <v>298</v>
      </c>
      <c r="E15" s="1554" t="s">
        <v>1098</v>
      </c>
      <c r="F15" s="1556"/>
      <c r="G15" s="1555" t="s">
        <v>1099</v>
      </c>
      <c r="H15" s="1563"/>
    </row>
    <row customHeight="1" ht="36.75">
      <c r="A16" s="508"/>
      <c r="B16" s="508"/>
      <c r="C16" s="463"/>
      <c r="D16" s="1553" t="s">
        <v>301</v>
      </c>
      <c r="E16" s="1552" t="s">
        <v>1100</v>
      </c>
      <c r="F16" s="1561"/>
      <c r="G16" s="480" t="s">
        <v>1101</v>
      </c>
      <c r="H16" s="1563"/>
    </row>
    <row customHeight="1" ht="45">
      <c r="A17" s="508"/>
      <c r="B17" s="508"/>
      <c r="C17" s="463"/>
      <c r="D17" s="1550">
        <v>3</v>
      </c>
      <c r="E17" s="1557" t="s">
        <v>1102</v>
      </c>
      <c r="F17" s="1556"/>
      <c r="G17" s="480" t="s">
        <v>1103</v>
      </c>
      <c r="H17" s="1563"/>
    </row>
    <row customHeight="1" ht="45">
      <c r="A18" s="1505">
        <v>1</v>
      </c>
      <c r="B18" s="508"/>
      <c r="C18" s="1507"/>
      <c r="D18" s="1550" t="s">
        <v>90</v>
      </c>
      <c r="E18" s="1557" t="s">
        <v>1104</v>
      </c>
      <c r="F18" s="1556"/>
      <c r="G18" s="480" t="s">
        <v>1103</v>
      </c>
      <c r="H18" s="1563"/>
      <c r="I18" s="858"/>
    </row>
    <row customHeight="1" ht="22.5">
      <c r="A19" s="508"/>
      <c r="B19" s="508"/>
      <c r="C19" s="463"/>
      <c r="D19" s="1550" t="s">
        <v>110</v>
      </c>
      <c r="E19" s="1557" t="s">
        <v>1105</v>
      </c>
      <c r="F19" s="1551" t="s">
        <v>297</v>
      </c>
      <c r="G19" s="2318" t="s">
        <v>1106</v>
      </c>
      <c r="H19" s="481"/>
    </row>
    <row s="4731" customFormat="1" customHeight="1" ht="5.25" hidden="1">
      <c r="A20" s="508"/>
      <c r="B20" s="508"/>
      <c r="C20" s="1559"/>
      <c r="D20" s="1558" t="s">
        <v>1017</v>
      </c>
      <c r="E20" s="1021"/>
      <c r="F20" s="1020"/>
      <c r="G20" s="2319"/>
    </row>
    <row customHeight="1" ht="15">
      <c r="A21" s="508"/>
      <c r="B21" s="508"/>
      <c r="C21" s="463"/>
      <c r="D21" s="473"/>
      <c r="E21" s="421" t="s">
        <v>332</v>
      </c>
      <c r="F21" s="475"/>
      <c r="G21" s="2320"/>
      <c r="H21" s="1563"/>
    </row>
    <row s="3010" customFormat="1" customHeight="1" ht="24.75">
      <c r="A22" s="508"/>
      <c r="B22" s="508"/>
      <c r="C22" s="508"/>
      <c r="D22" s="1550" t="s">
        <v>91</v>
      </c>
      <c r="E22" s="480" t="s">
        <v>1107</v>
      </c>
      <c r="F22" s="1556"/>
      <c r="G22" s="480" t="s">
        <v>1108</v>
      </c>
      <c r="H22" s="1562"/>
    </row>
    <row s="3010" customFormat="1" customHeight="1" ht="18.75">
      <c r="A23" s="508"/>
      <c r="B23" s="508"/>
      <c r="C23" s="508"/>
      <c r="D23" s="1550" t="s">
        <v>92</v>
      </c>
      <c r="E23" s="1557" t="s">
        <v>1109</v>
      </c>
      <c r="F23" s="1561"/>
      <c r="G23" s="480" t="s">
        <v>1110</v>
      </c>
      <c r="H23" s="1562"/>
    </row>
    <row customHeight="1" ht="11.25">
      <c r="A24" s="508"/>
      <c r="B24" s="508"/>
      <c r="C24" s="463"/>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1">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2480F8-77B8-F528-D338-063AFF4F7818}" mc:Ignorable="x14ac xr xr2 xr3">
  <dimension ref="A1:IT23"/>
  <sheetViews>
    <sheetView topLeftCell="A1" showGridLines="0" zoomScale="90" workbookViewId="0">
      <selection activeCell="A1" sqref="A1"/>
    </sheetView>
  </sheetViews>
  <sheetFormatPr defaultColWidth="9.140625" customHeight="1" defaultRowHeight="14.25"/>
  <cols>
    <col min="1" max="1" style="2941" width="9.140625" hidden="1"/>
    <col min="2" max="2" style="3293" width="9.140625" hidden="1"/>
    <col min="3" max="3" style="2941" width="3.7109375" hidden="1" customWidth="1"/>
    <col min="4" max="4" style="3153" width="3.8515625" customWidth="1"/>
    <col min="5" max="5" style="2941" width="6.28125" customWidth="1"/>
    <col min="6" max="6" style="2941" width="46.7109375" customWidth="1"/>
    <col min="7" max="8" style="2941" width="16.7109375" customWidth="1"/>
    <col min="9" max="9" style="2941" width="35.28125" customWidth="1"/>
    <col min="10" max="10" style="2941" width="89.57421875" customWidth="1"/>
    <col min="11" max="11" style="2665" width="3.7109375" customWidth="1"/>
    <col min="12" max="14" style="2665" width="9.140625"/>
    <col min="15" max="15" style="2631" width="25.7109375" customWidth="1"/>
    <col min="16" max="16" style="2665" width="14.421875" customWidth="1"/>
    <col min="17" max="20" style="2632" width="9.140625"/>
    <col min="21" max="254" style="2941" width="9.140625"/>
  </cols>
  <sheetData>
    <row customHeight="1" ht="14.25" hidden="1"/>
    <row s="2666" customFormat="1" customHeight="1" ht="22.5" hidden="1">
      <c r="A2" s="837"/>
      <c r="B2" s="1168">
        <v>1</v>
      </c>
      <c r="C2" s="1168"/>
      <c r="D2" s="807"/>
      <c r="E2" s="1514"/>
      <c r="F2" s="1521"/>
      <c r="G2" s="1521"/>
      <c r="H2" s="1521"/>
      <c r="I2" s="1568"/>
      <c r="J2" s="214"/>
      <c r="K2" s="1565">
        <f>MERGEVALUE(F2)</f>
      </c>
      <c r="L2" s="517"/>
      <c r="M2" s="517"/>
      <c r="N2" s="506" t="str">
        <f t="array" ref="N2:N2">IF(ISERROR(MATCH(MID(O2,1,250),MID(note_ter,1,250),0)),"n","y")</f>
        <v>n</v>
      </c>
      <c r="O2" s="517"/>
      <c r="P2" s="506" t="str">
        <f>G2&amp;"("&amp;J2&amp;")"</f>
        <v>()</v>
      </c>
      <c r="Q2" s="1168"/>
      <c r="R2" s="1168"/>
      <c r="S2" s="426"/>
      <c r="T2" s="1168"/>
      <c r="U2" s="1168"/>
      <c r="V2" s="1168"/>
      <c r="W2" s="428"/>
      <c r="X2" s="428"/>
      <c r="Y2" s="425"/>
      <c r="Z2" s="425"/>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8"/>
      <c r="BU2" s="428"/>
      <c r="BV2" s="428"/>
      <c r="BW2" s="428"/>
      <c r="BX2" s="428"/>
      <c r="BY2" s="428"/>
      <c r="BZ2" s="428"/>
      <c r="CA2" s="428"/>
      <c r="CB2" s="428"/>
      <c r="CC2" s="428"/>
    </row>
    <row s="2612" customFormat="1" customHeight="1" ht="5.25" hidden="1">
      <c r="A3" s="502"/>
      <c r="D3" s="500"/>
      <c r="F3" s="233" t="s">
        <v>82</v>
      </c>
      <c r="G3" s="500" t="s">
        <v>83</v>
      </c>
      <c r="H3" s="500"/>
      <c r="I3" s="500"/>
      <c r="J3" s="213" t="s">
        <v>84</v>
      </c>
      <c r="K3" s="233" t="s">
        <v>82</v>
      </c>
      <c r="L3" s="233"/>
      <c r="M3" s="233"/>
      <c r="N3" s="233"/>
      <c r="O3" s="234"/>
      <c r="P3" s="233"/>
      <c r="Q3" s="233"/>
      <c r="R3" s="233"/>
      <c r="S3" s="233"/>
      <c r="T3" s="233"/>
      <c r="U3" s="213"/>
      <c r="V3" s="213"/>
      <c r="W3" s="213"/>
      <c r="X3" s="213"/>
      <c r="Y3" s="213"/>
      <c r="Z3" s="213"/>
      <c r="AA3" s="213"/>
      <c r="AB3" s="213"/>
      <c r="AC3" s="213"/>
      <c r="AD3" s="213"/>
      <c r="AE3" s="213"/>
      <c r="AF3" s="213"/>
      <c r="AG3" s="213"/>
      <c r="AH3" s="213"/>
      <c r="AI3" s="213"/>
      <c r="AJ3" s="213"/>
      <c r="AK3" s="213"/>
      <c r="AL3" s="213"/>
      <c r="AM3" s="213"/>
      <c r="AN3" s="213"/>
      <c r="AO3" s="213"/>
      <c r="AP3" s="213"/>
      <c r="AQ3" s="213"/>
      <c r="AR3" s="213"/>
      <c r="AS3" s="213"/>
      <c r="AT3" s="213"/>
      <c r="AU3" s="213"/>
      <c r="AV3" s="213"/>
      <c r="AW3" s="213"/>
      <c r="AX3" s="213"/>
      <c r="AY3" s="213"/>
      <c r="AZ3" s="213"/>
      <c r="BA3" s="213"/>
      <c r="BB3" s="213"/>
      <c r="BC3" s="213"/>
      <c r="BD3" s="213"/>
      <c r="BE3" s="213"/>
      <c r="BF3" s="213"/>
      <c r="BG3" s="213"/>
      <c r="BH3" s="213"/>
      <c r="BI3" s="213"/>
      <c r="BJ3" s="213"/>
      <c r="BK3" s="213"/>
      <c r="BL3" s="213"/>
      <c r="BM3" s="213"/>
      <c r="BN3" s="213"/>
      <c r="BO3" s="213"/>
      <c r="BP3" s="213"/>
      <c r="BQ3" s="213"/>
      <c r="BR3" s="213"/>
      <c r="BS3" s="213"/>
      <c r="BT3" s="213"/>
      <c r="BU3" s="213"/>
      <c r="BV3" s="213"/>
      <c r="BW3" s="213"/>
      <c r="BX3" s="213"/>
      <c r="BY3" s="213"/>
      <c r="BZ3" s="213"/>
      <c r="CA3" s="213"/>
      <c r="CB3" s="213"/>
      <c r="CC3" s="213"/>
      <c r="CD3" s="213"/>
      <c r="CE3" s="213"/>
      <c r="CF3" s="213"/>
      <c r="CG3" s="213"/>
      <c r="CH3" s="213"/>
      <c r="CI3" s="213"/>
      <c r="CJ3" s="213"/>
      <c r="CK3" s="213"/>
      <c r="CL3" s="213"/>
      <c r="CM3" s="213"/>
      <c r="CN3" s="213"/>
      <c r="CO3" s="213"/>
      <c r="CP3" s="213"/>
      <c r="CQ3" s="213"/>
      <c r="CR3" s="213"/>
      <c r="CS3" s="213"/>
      <c r="CT3" s="213"/>
      <c r="CU3" s="213"/>
      <c r="CV3" s="213"/>
      <c r="CW3" s="213"/>
      <c r="CX3" s="213"/>
      <c r="CY3" s="213"/>
      <c r="CZ3" s="213"/>
      <c r="DA3" s="213"/>
      <c r="DB3" s="213"/>
      <c r="DC3" s="213"/>
      <c r="DD3" s="213"/>
      <c r="DE3" s="213"/>
      <c r="DF3" s="213"/>
      <c r="DG3" s="213"/>
      <c r="DH3" s="213"/>
      <c r="DI3" s="213"/>
      <c r="DJ3" s="213"/>
      <c r="DK3" s="213"/>
      <c r="DL3" s="213"/>
      <c r="DM3" s="213"/>
      <c r="DN3" s="213"/>
      <c r="DO3" s="213"/>
      <c r="DP3" s="213"/>
      <c r="DQ3" s="213"/>
      <c r="DR3" s="213"/>
      <c r="DS3" s="213"/>
      <c r="DT3" s="213"/>
      <c r="DU3" s="213"/>
      <c r="DV3" s="213"/>
      <c r="DW3" s="213"/>
      <c r="DX3" s="213"/>
      <c r="DY3" s="213"/>
      <c r="DZ3" s="213"/>
      <c r="EA3" s="213"/>
      <c r="EB3" s="213"/>
      <c r="EC3" s="213"/>
      <c r="ED3" s="213"/>
      <c r="EE3" s="213"/>
      <c r="EF3" s="213"/>
      <c r="EG3" s="213"/>
      <c r="EH3" s="213"/>
      <c r="EI3" s="213"/>
      <c r="EJ3" s="213"/>
      <c r="EK3" s="213"/>
      <c r="EL3" s="213"/>
      <c r="EM3" s="213"/>
      <c r="EN3" s="213"/>
      <c r="EO3" s="213"/>
      <c r="EP3" s="213"/>
      <c r="EQ3" s="213"/>
      <c r="ER3" s="213"/>
      <c r="ES3" s="213"/>
      <c r="ET3" s="213"/>
      <c r="EU3" s="213"/>
      <c r="EV3" s="213"/>
      <c r="EW3" s="213"/>
      <c r="EX3" s="213"/>
      <c r="EY3" s="213"/>
      <c r="EZ3" s="213"/>
      <c r="FA3" s="213"/>
      <c r="FB3" s="213"/>
      <c r="FC3" s="213"/>
      <c r="FD3" s="213"/>
      <c r="FE3" s="213"/>
      <c r="FF3" s="213"/>
      <c r="FG3" s="213"/>
      <c r="FH3" s="213"/>
      <c r="FI3" s="213"/>
      <c r="FJ3" s="213"/>
      <c r="FK3" s="213"/>
      <c r="FL3" s="213"/>
      <c r="FM3" s="213"/>
      <c r="FN3" s="213"/>
      <c r="FO3" s="213"/>
      <c r="FP3" s="213"/>
      <c r="FQ3" s="213"/>
      <c r="FR3" s="213"/>
      <c r="FS3" s="213"/>
      <c r="FT3" s="213"/>
      <c r="FU3" s="213"/>
      <c r="FV3" s="213"/>
      <c r="FW3" s="213"/>
      <c r="FX3" s="213"/>
      <c r="FY3" s="213"/>
      <c r="FZ3" s="213"/>
      <c r="GA3" s="213"/>
      <c r="GB3" s="213"/>
      <c r="GC3" s="213"/>
      <c r="GD3" s="213"/>
      <c r="GE3" s="213"/>
      <c r="GF3" s="213"/>
      <c r="GG3" s="213"/>
      <c r="GH3" s="213"/>
      <c r="GI3" s="213"/>
      <c r="GJ3" s="213"/>
      <c r="GK3" s="213"/>
      <c r="GL3" s="213"/>
      <c r="GM3" s="213"/>
      <c r="GN3" s="213"/>
      <c r="GO3" s="213"/>
      <c r="GP3" s="213"/>
      <c r="GQ3" s="213"/>
      <c r="GR3" s="213"/>
      <c r="GS3" s="213"/>
      <c r="GT3" s="213"/>
      <c r="GU3" s="213"/>
      <c r="GV3" s="213"/>
      <c r="GW3" s="213"/>
      <c r="GX3" s="213"/>
      <c r="GY3" s="213"/>
      <c r="GZ3" s="213"/>
      <c r="HA3" s="213"/>
      <c r="HB3" s="213"/>
      <c r="HC3" s="213"/>
      <c r="HD3" s="213"/>
      <c r="HE3" s="213"/>
      <c r="HF3" s="213"/>
      <c r="HG3" s="213"/>
      <c r="HH3" s="213"/>
      <c r="HI3" s="213"/>
      <c r="HJ3" s="213"/>
      <c r="HK3" s="213"/>
      <c r="HL3" s="213"/>
      <c r="HM3" s="213"/>
      <c r="HN3" s="213"/>
      <c r="HO3" s="213"/>
      <c r="HP3" s="213"/>
      <c r="HQ3" s="213"/>
      <c r="HR3" s="213"/>
      <c r="HS3" s="213"/>
      <c r="HT3" s="213"/>
      <c r="HU3" s="213"/>
      <c r="HV3" s="213"/>
      <c r="HW3" s="213"/>
      <c r="HX3" s="213"/>
      <c r="HY3" s="213"/>
      <c r="HZ3" s="213"/>
      <c r="IA3" s="213"/>
      <c r="IB3" s="213"/>
      <c r="IC3" s="213"/>
      <c r="ID3" s="213"/>
      <c r="IE3" s="213"/>
      <c r="IF3" s="213"/>
      <c r="IG3" s="213"/>
      <c r="IH3" s="213"/>
      <c r="II3" s="213"/>
      <c r="IJ3" s="213"/>
      <c r="IK3" s="213"/>
      <c r="IL3" s="213"/>
      <c r="IM3" s="213"/>
      <c r="IN3" s="213"/>
      <c r="IO3" s="213"/>
      <c r="IP3" s="213"/>
      <c r="IQ3" s="213"/>
      <c r="IR3" s="213"/>
      <c r="IS3" s="213"/>
      <c r="IT3" s="213"/>
    </row>
    <row s="2657" customFormat="1" customHeight="1" ht="14.25">
      <c r="A4" s="1163"/>
      <c r="B4" s="1168"/>
      <c r="C4" s="1163"/>
      <c r="D4" s="1525"/>
      <c r="E4" s="515"/>
      <c r="F4" s="515"/>
      <c r="G4" s="515"/>
      <c r="H4" s="515"/>
      <c r="I4" s="515"/>
      <c r="J4" s="152"/>
      <c r="K4" s="233"/>
      <c r="L4" s="506"/>
      <c r="M4" s="506"/>
      <c r="N4" s="506"/>
      <c r="O4" s="212"/>
      <c r="P4" s="506"/>
      <c r="Q4" s="211"/>
      <c r="R4" s="211"/>
      <c r="S4" s="211"/>
      <c r="T4" s="211"/>
    </row>
    <row s="2657" customFormat="1" customHeight="1" ht="25.5">
      <c r="A5" s="1163"/>
      <c r="B5" s="1168"/>
      <c r="C5" s="1163"/>
      <c r="D5" s="1525"/>
      <c r="E5" s="1954" t="str">
        <f>"Форма 2.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орган регулирования тарифов осуществляет регулирование тарифов в сфере "&amp;TEMPLATE_SPHERE_RUS)</f>
        <v>Форма 2.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1954"/>
      <c r="G5" s="1954"/>
      <c r="H5" s="1954"/>
      <c r="I5" s="1954"/>
      <c r="J5" s="1954"/>
      <c r="K5" s="233"/>
      <c r="L5" s="506"/>
      <c r="M5" s="506"/>
      <c r="N5" s="506"/>
      <c r="O5" s="212"/>
      <c r="P5" s="506"/>
      <c r="Q5" s="211"/>
      <c r="R5" s="211"/>
      <c r="S5" s="211"/>
      <c r="T5" s="211"/>
    </row>
    <row s="2657" customFormat="1" customHeight="1" ht="14.25">
      <c r="A6" s="1163"/>
      <c r="B6" s="1168"/>
      <c r="C6" s="1163"/>
      <c r="D6" s="1525"/>
      <c r="E6" s="515"/>
      <c r="F6" s="153"/>
      <c r="G6" s="153"/>
      <c r="H6" s="153"/>
      <c r="I6" s="153"/>
      <c r="J6" s="154"/>
      <c r="K6" s="506"/>
      <c r="L6" s="506"/>
      <c r="M6" s="506"/>
      <c r="N6" s="506"/>
      <c r="O6" s="212"/>
      <c r="P6" s="506"/>
      <c r="Q6" s="211"/>
      <c r="R6" s="211"/>
      <c r="S6" s="211"/>
      <c r="T6" s="211"/>
    </row>
    <row s="2657" customFormat="1" customHeight="1" ht="14.25">
      <c r="A7" s="1163"/>
      <c r="B7" s="1168"/>
      <c r="C7" s="1163"/>
      <c r="D7" s="1525"/>
      <c r="E7" s="1955" t="s">
        <v>291</v>
      </c>
      <c r="F7" s="1956"/>
      <c r="G7" s="1956"/>
      <c r="H7" s="1956"/>
      <c r="I7" s="1956"/>
      <c r="J7" s="2321" t="s">
        <v>292</v>
      </c>
      <c r="K7" s="506"/>
      <c r="L7" s="506"/>
      <c r="M7" s="506"/>
      <c r="N7" s="506"/>
      <c r="O7" s="212"/>
      <c r="P7" s="506"/>
      <c r="Q7" s="211"/>
      <c r="R7" s="211"/>
      <c r="S7" s="211"/>
      <c r="T7" s="211"/>
    </row>
    <row s="2657" customFormat="1" customHeight="1" ht="20.25">
      <c r="A8" s="1163"/>
      <c r="B8" s="1168"/>
      <c r="C8" s="1163"/>
      <c r="D8" s="1525"/>
      <c r="E8" s="1585" t="s">
        <v>87</v>
      </c>
      <c r="F8" s="1570" t="s">
        <v>1111</v>
      </c>
      <c r="G8" s="1570" t="s">
        <v>47</v>
      </c>
      <c r="H8" s="1570" t="s">
        <v>49</v>
      </c>
      <c r="I8" s="1570" t="s">
        <v>1112</v>
      </c>
      <c r="J8" s="2322"/>
      <c r="K8" s="506"/>
      <c r="L8" s="506"/>
      <c r="M8" s="506"/>
      <c r="N8" s="506"/>
      <c r="O8" s="212"/>
      <c r="P8" s="506"/>
      <c r="Q8" s="211"/>
      <c r="R8" s="211"/>
      <c r="S8" s="211"/>
      <c r="T8" s="211"/>
    </row>
    <row s="2666" customFormat="1" customHeight="1" ht="22.5">
      <c r="A9" s="1953"/>
      <c r="B9" s="1168">
        <v>1</v>
      </c>
      <c r="C9" s="1168"/>
      <c r="D9" s="807"/>
      <c r="E9" s="1514">
        <v>1</v>
      </c>
      <c r="F9" s="1584"/>
      <c r="G9" s="1521"/>
      <c r="H9" s="1521"/>
      <c r="I9" s="1568"/>
      <c r="J9" s="2323" t="s">
        <v>1113</v>
      </c>
      <c r="K9" s="1565">
        <f>MERGEVALUE(F9)</f>
      </c>
      <c r="L9" s="517"/>
      <c r="M9" s="517"/>
      <c r="N9" s="506" t="str">
        <f t="array" ref="N9:N9">IF(ISERROR(MATCH(MID(O9,1,250),MID(note_ter,1,250),0)),"n","y")</f>
        <v>n</v>
      </c>
      <c r="O9" s="517"/>
      <c r="P9" s="506" t="str">
        <f>G9&amp;"("&amp;J9&amp;")"</f>
        <v>(Значение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8"/>
      <c r="R9" s="1168"/>
      <c r="S9" s="426"/>
      <c r="T9" s="1168"/>
      <c r="U9" s="1168"/>
      <c r="V9" s="1168"/>
      <c r="W9" s="428"/>
      <c r="X9" s="428"/>
      <c r="Y9" s="425"/>
      <c r="Z9" s="425"/>
      <c r="AA9" s="425"/>
      <c r="AB9" s="425"/>
      <c r="AC9" s="425"/>
      <c r="AD9" s="425"/>
      <c r="AE9" s="425"/>
      <c r="AF9" s="425"/>
      <c r="AG9" s="425"/>
      <c r="AH9" s="425"/>
      <c r="AI9" s="425"/>
      <c r="AJ9" s="425"/>
      <c r="AK9" s="425"/>
      <c r="AL9" s="425"/>
      <c r="AM9" s="425"/>
      <c r="AN9" s="425"/>
      <c r="AO9" s="425"/>
      <c r="AP9" s="425"/>
      <c r="AQ9" s="425"/>
      <c r="AR9" s="425"/>
      <c r="AS9" s="425"/>
      <c r="AT9" s="425"/>
      <c r="AU9" s="425"/>
      <c r="AV9" s="425"/>
      <c r="AW9" s="425"/>
      <c r="AX9" s="425"/>
      <c r="AY9" s="425"/>
      <c r="AZ9" s="425"/>
      <c r="BA9" s="425"/>
      <c r="BB9" s="425"/>
      <c r="BC9" s="425"/>
      <c r="BD9" s="425"/>
      <c r="BE9" s="425"/>
      <c r="BF9" s="425"/>
      <c r="BG9" s="425"/>
      <c r="BH9" s="425"/>
      <c r="BI9" s="425"/>
      <c r="BJ9" s="425"/>
      <c r="BK9" s="425"/>
      <c r="BL9" s="425"/>
      <c r="BM9" s="425"/>
      <c r="BN9" s="425"/>
      <c r="BO9" s="425"/>
      <c r="BP9" s="425"/>
      <c r="BQ9" s="425"/>
      <c r="BR9" s="425"/>
      <c r="BS9" s="425"/>
      <c r="BT9" s="428"/>
      <c r="BU9" s="428"/>
      <c r="BV9" s="428"/>
      <c r="BW9" s="428"/>
      <c r="BX9" s="428"/>
      <c r="BY9" s="428"/>
      <c r="BZ9" s="428"/>
      <c r="CA9" s="428"/>
      <c r="CB9" s="428"/>
      <c r="CC9" s="428"/>
    </row>
    <row s="2666" customFormat="1" customHeight="1" ht="15">
      <c r="A10" s="1953"/>
      <c r="B10" s="1168"/>
      <c r="C10" s="418"/>
      <c r="D10" s="807"/>
      <c r="E10" s="1571"/>
      <c r="F10" s="1530" t="s">
        <v>1114</v>
      </c>
      <c r="G10" s="1572"/>
      <c r="H10" s="1572"/>
      <c r="I10" s="1572"/>
      <c r="J10" s="2324"/>
      <c r="K10" s="1566"/>
      <c r="L10" s="517"/>
      <c r="M10" s="517"/>
      <c r="N10" s="517"/>
      <c r="O10" s="506"/>
      <c r="P10" s="517"/>
      <c r="Q10" s="1168"/>
      <c r="R10" s="1168"/>
      <c r="S10" s="426"/>
      <c r="T10" s="1168"/>
      <c r="U10" s="1168"/>
      <c r="V10" s="1168"/>
      <c r="W10" s="428"/>
      <c r="X10" s="428"/>
      <c r="Y10" s="425"/>
      <c r="Z10" s="425"/>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8"/>
      <c r="BU10" s="428"/>
      <c r="BV10" s="428"/>
      <c r="BW10" s="428"/>
      <c r="BX10" s="428"/>
      <c r="BY10" s="428"/>
      <c r="BZ10" s="428"/>
      <c r="CA10" s="428"/>
      <c r="CB10" s="428"/>
      <c r="CC10" s="428"/>
    </row>
    <row s="2657" customFormat="1" customHeight="1" ht="21">
      <c r="A11" s="1163"/>
      <c r="B11" s="1168"/>
      <c r="C11" s="1163"/>
      <c r="D11" s="457"/>
      <c r="E11" s="166"/>
      <c r="F11" s="166"/>
      <c r="G11" s="166"/>
      <c r="H11" s="166"/>
      <c r="I11" s="166"/>
      <c r="J11" s="166"/>
      <c r="K11" s="506"/>
      <c r="L11" s="506"/>
      <c r="M11" s="506"/>
      <c r="N11" s="506"/>
      <c r="O11" s="212"/>
      <c r="P11" s="506"/>
      <c r="Q11" s="211"/>
      <c r="R11" s="211"/>
      <c r="S11" s="211"/>
      <c r="T11" s="211"/>
    </row>
    <row s="2657" customFormat="1" customHeight="1" ht="14.25">
      <c r="A12" s="1163"/>
      <c r="B12" s="1168"/>
      <c r="C12" s="1163"/>
      <c r="D12" s="457"/>
      <c r="E12" s="1163"/>
      <c r="F12" s="1163"/>
      <c r="G12" s="1163"/>
      <c r="H12" s="1163"/>
      <c r="I12" s="1163"/>
      <c r="J12" s="1163"/>
      <c r="K12" s="506"/>
      <c r="L12" s="506"/>
      <c r="M12" s="506"/>
      <c r="N12" s="506"/>
      <c r="O12" s="212"/>
      <c r="P12" s="506"/>
      <c r="Q12" s="211"/>
      <c r="R12" s="211"/>
      <c r="S12" s="211"/>
      <c r="T12" s="211"/>
    </row>
    <row s="2657" customFormat="1" customHeight="1" ht="0.75">
      <c r="A13" s="1163"/>
      <c r="B13" s="1168"/>
      <c r="C13" s="1163"/>
      <c r="D13" s="457"/>
      <c r="E13" s="1163"/>
      <c r="F13" s="1163"/>
      <c r="G13" s="1163"/>
      <c r="H13" s="1163"/>
      <c r="I13" s="1163"/>
      <c r="J13" s="1163"/>
      <c r="K13" s="506"/>
      <c r="L13" s="506"/>
      <c r="M13" s="506"/>
      <c r="N13" s="506"/>
      <c r="O13" s="212"/>
      <c r="P13" s="506"/>
      <c r="Q13" s="211"/>
      <c r="R13" s="211"/>
      <c r="S13" s="211"/>
      <c r="T13" s="211"/>
    </row>
    <row s="2689" customFormat="1" customHeight="1" ht="10.5">
      <c r="B14" s="840"/>
      <c r="D14" s="168"/>
      <c r="K14" s="506"/>
      <c r="L14" s="506"/>
      <c r="M14" s="506"/>
      <c r="N14" s="506"/>
      <c r="O14" s="212"/>
      <c r="P14" s="506"/>
      <c r="Q14" s="211"/>
      <c r="R14" s="211"/>
      <c r="S14" s="211"/>
      <c r="T14" s="211"/>
    </row>
    <row s="2689" customFormat="1" customHeight="1" ht="10.5">
      <c r="B15" s="840"/>
      <c r="D15" s="168"/>
      <c r="K15" s="506"/>
      <c r="L15" s="506"/>
      <c r="M15" s="506"/>
      <c r="N15" s="506"/>
      <c r="O15" s="212"/>
      <c r="P15" s="506"/>
      <c r="Q15" s="211"/>
      <c r="R15" s="211"/>
      <c r="S15" s="211"/>
      <c r="T15" s="211"/>
    </row>
    <row r="19" customHeight="1" ht="14.25">
      <c r="G19" s="373"/>
      <c r="H19" s="373"/>
      <c r="I19" s="373"/>
    </row>
    <row r="23" customHeight="1" ht="14.25">
      <c r="K23" s="1163"/>
      <c r="L23" s="1163"/>
      <c r="M23" s="1163"/>
    </row>
  </sheetData>
  <sheetProtection formatColumns="0" formatRows="0" autoFilter="0" sort="0" insertRows="0" insertColumns="1" deleteRows="0" deleteColumns="0"/>
  <mergeCells count="5">
    <mergeCell ref="E5:J5"/>
    <mergeCell ref="A9:A10"/>
    <mergeCell ref="E7:I7"/>
    <mergeCell ref="J7:J8"/>
    <mergeCell ref="J9:J10"/>
  </mergeCells>
  <dataValidations count="1">
    <dataValidation type="textLength" allowBlank="1" showInputMessage="1" showErrorMessage="1" sqref="I2:I3 I9">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0CD297-332C-32DD-0A3F-17D2C9A19F08}" mc:Ignorable="x14ac xr xr2 xr3">
  <sheetPr>
    <tabColor rgb="FFCCCCFF"/>
  </sheetPr>
  <dimension ref="A1:AR130"/>
  <sheetViews>
    <sheetView topLeftCell="A1" showGridLines="0" zoomScale="90" workbookViewId="0">
      <selection activeCell="S18" sqref="S18:S19"/>
    </sheetView>
  </sheetViews>
  <sheetFormatPr defaultColWidth="9.140625" customHeight="1" defaultRowHeight="11.25"/>
  <cols>
    <col min="1" max="2" style="2932" width="3.7109375" hidden="1" customWidth="1"/>
    <col min="3" max="3" style="2933" width="3.7109375" customWidth="1"/>
    <col min="4" max="4" style="2933" width="6.140625" customWidth="1"/>
    <col min="5" max="5" style="2933" width="43.140625" customWidth="1"/>
    <col min="6" max="6" style="2853" width="15.00390625" customWidth="1"/>
    <col min="7" max="7" style="2933" width="43.140625" customWidth="1"/>
    <col min="8" max="8" style="2933" width="3.7109375" customWidth="1"/>
    <col min="9" max="9" style="2933" width="5.421875" customWidth="1"/>
    <col min="10" max="10" style="2933" width="47.8515625" customWidth="1"/>
    <col min="11" max="12" style="2933" width="3.7109375" customWidth="1"/>
    <col min="13" max="13" style="2933" width="5.7109375" customWidth="1"/>
    <col min="14" max="14" style="2933" width="28.140625" customWidth="1"/>
    <col min="15" max="16" style="2933" width="3.7109375" customWidth="1"/>
    <col min="17" max="17" style="2933" width="5.7109375" customWidth="1"/>
    <col min="18" max="18" style="2933" width="34.421875" customWidth="1"/>
    <col min="19" max="20" style="2934" width="3.7109375" customWidth="1"/>
    <col min="21" max="21" style="2934" width="5.7109375" customWidth="1"/>
    <col min="22" max="22" style="2934" width="34.421875" customWidth="1"/>
    <col min="23" max="23" style="2933" width="30.7109375" customWidth="1"/>
    <col min="24" max="24" style="2933" width="3.7109375" customWidth="1"/>
    <col min="25" max="28" style="2801" width="9.8515625" hidden="1" customWidth="1"/>
    <col min="29" max="29" style="2801" width="27.00390625" hidden="1" customWidth="1"/>
    <col min="30" max="30" style="2801" width="10.57421875" hidden="1" customWidth="1"/>
    <col min="31" max="31" style="2801" width="10.7109375" hidden="1" customWidth="1"/>
    <col min="32" max="32" style="2801" width="10.00390625" hidden="1" customWidth="1"/>
    <col min="33" max="33" style="2801" width="12.8515625" hidden="1" customWidth="1"/>
    <col min="34" max="34" style="2801" width="10.28125" hidden="1" customWidth="1"/>
    <col min="35" max="35" style="2801" width="15.8515625" hidden="1" customWidth="1"/>
    <col min="36" max="36" style="2801" width="19.421875" hidden="1" customWidth="1"/>
    <col min="37" max="37" style="2801" width="11.00390625" hidden="1" customWidth="1"/>
    <col min="38" max="38" style="2801" width="23.57421875" hidden="1" customWidth="1"/>
    <col min="39" max="39" style="2801" width="23.8515625" hidden="1" customWidth="1"/>
    <col min="40" max="40" style="2801" width="25.28125" hidden="1" customWidth="1"/>
    <col min="41" max="41" style="2801" width="16.8515625" hidden="1" customWidth="1"/>
    <col min="42" max="42" style="2801" width="29.57421875" hidden="1" customWidth="1"/>
    <col min="43" max="43" style="2801" width="29.8515625" hidden="1" customWidth="1"/>
    <col min="44" max="44" style="2933" width="9.140625" hidden="1"/>
  </cols>
  <sheetData>
    <row customHeight="1" ht="11.25" hidden="1">
      <c r="A1" s="142"/>
    </row>
    <row customHeight="1" ht="11.25" hidden="1"/>
    <row customHeight="1" ht="11.25" hidden="1"/>
    <row customHeight="1" ht="3"/>
    <row s="2778" customFormat="1" customHeight="1" ht="29.25">
      <c r="A5" s="140"/>
      <c r="B5" s="140"/>
      <c r="D5" s="201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020"/>
      <c r="F5" s="2020"/>
      <c r="G5" s="2020"/>
      <c r="H5" s="2020"/>
      <c r="I5" s="2020"/>
      <c r="J5" s="2021"/>
      <c r="K5" s="251"/>
      <c r="L5" s="128"/>
      <c r="M5" s="128"/>
      <c r="N5" s="128"/>
      <c r="O5" s="128"/>
      <c r="P5" s="128"/>
      <c r="Q5" s="128"/>
      <c r="R5" s="128"/>
      <c r="S5" s="278"/>
      <c r="T5" s="278"/>
      <c r="U5" s="278"/>
      <c r="V5" s="278"/>
      <c r="W5" s="128"/>
      <c r="Y5" s="1289"/>
      <c r="Z5" s="1289"/>
      <c r="AA5" s="1289"/>
      <c r="AB5" s="1289"/>
      <c r="AC5" s="1289"/>
      <c r="AD5" s="1289"/>
      <c r="AE5" s="1289"/>
      <c r="AF5" s="1289"/>
      <c r="AG5" s="1289"/>
      <c r="AH5" s="1289"/>
      <c r="AI5" s="1289"/>
      <c r="AJ5" s="1289"/>
      <c r="AK5" s="1289"/>
      <c r="AL5" s="1289"/>
      <c r="AM5" s="1289"/>
      <c r="AN5" s="1289"/>
      <c r="AO5" s="1289"/>
      <c r="AP5" s="1289"/>
      <c r="AQ5" s="1289"/>
    </row>
    <row s="2698" customFormat="1" customHeight="1" ht="15">
      <c r="A6" s="591"/>
      <c r="B6" s="591"/>
      <c r="C6" s="591"/>
      <c r="D6" s="2025" t="str">
        <f>IF(org=0,"Не определено",org)</f>
        <v>МУП г. Азова "Теплоэнерго"</v>
      </c>
      <c r="E6" s="2025"/>
      <c r="F6" s="2025"/>
      <c r="G6" s="2025"/>
      <c r="H6" s="2025"/>
      <c r="I6" s="2025"/>
      <c r="J6" s="2025"/>
      <c r="K6" s="592"/>
      <c r="L6" s="592"/>
      <c r="M6" s="592"/>
      <c r="N6" s="592"/>
      <c r="O6" s="876"/>
      <c r="P6" s="876"/>
      <c r="Q6" s="876"/>
      <c r="R6" s="876"/>
      <c r="S6" s="876"/>
      <c r="T6" s="876"/>
      <c r="U6" s="876"/>
      <c r="V6" s="876"/>
      <c r="W6" s="876"/>
      <c r="X6" s="592"/>
      <c r="Y6" s="1290"/>
      <c r="Z6" s="1290"/>
      <c r="AA6" s="1290"/>
      <c r="AB6" s="1290"/>
      <c r="AC6" s="1290"/>
      <c r="AD6" s="1290"/>
      <c r="AE6" s="1290"/>
      <c r="AF6" s="1290"/>
      <c r="AG6" s="1290"/>
      <c r="AH6" s="1290"/>
      <c r="AI6" s="1290"/>
      <c r="AJ6" s="1290"/>
      <c r="AK6" s="1290"/>
      <c r="AL6" s="1290"/>
      <c r="AM6" s="1290"/>
      <c r="AN6" s="1290"/>
      <c r="AO6" s="1290"/>
      <c r="AP6" s="1290"/>
      <c r="AQ6" s="1290"/>
    </row>
    <row s="2788" customFormat="1" customHeight="1" ht="11.25">
      <c r="A7" s="197"/>
      <c r="B7" s="197"/>
      <c r="D7" s="2022"/>
      <c r="E7" s="2023"/>
      <c r="F7" s="2023"/>
      <c r="G7" s="2023"/>
      <c r="H7" s="2023"/>
      <c r="I7" s="2023"/>
      <c r="J7" s="2024"/>
      <c r="S7" s="287"/>
      <c r="T7" s="287"/>
      <c r="U7" s="287"/>
      <c r="V7" s="287"/>
      <c r="Y7" s="1291"/>
      <c r="Z7" s="1291"/>
      <c r="AA7" s="1291"/>
      <c r="AB7" s="1291"/>
      <c r="AC7" s="1291"/>
      <c r="AD7" s="1291"/>
      <c r="AE7" s="1291"/>
      <c r="AF7" s="1291"/>
      <c r="AG7" s="1291"/>
      <c r="AH7" s="1291"/>
      <c r="AI7" s="1291"/>
      <c r="AJ7" s="1291"/>
      <c r="AK7" s="1291"/>
      <c r="AL7" s="1291"/>
      <c r="AM7" s="1291"/>
      <c r="AN7" s="1291"/>
      <c r="AO7" s="1291"/>
      <c r="AP7" s="1291"/>
      <c r="AQ7" s="1291"/>
    </row>
    <row s="2778" customFormat="1" customHeight="1" ht="0.75">
      <c r="A8" s="140"/>
      <c r="B8" s="140"/>
      <c r="D8" s="198"/>
      <c r="E8" s="198"/>
      <c r="F8" s="198"/>
      <c r="G8" s="198"/>
      <c r="H8" s="198"/>
      <c r="I8" s="198"/>
      <c r="J8" s="198"/>
      <c r="K8" s="198"/>
      <c r="L8" s="198"/>
      <c r="M8" s="198"/>
      <c r="N8" s="198"/>
      <c r="O8" s="198"/>
      <c r="P8" s="198"/>
      <c r="Q8" s="198"/>
      <c r="R8" s="198"/>
      <c r="S8" s="198"/>
      <c r="T8" s="198"/>
      <c r="U8" s="198"/>
      <c r="V8" s="198"/>
      <c r="W8" s="198"/>
      <c r="X8" s="118"/>
      <c r="Y8" s="1289"/>
      <c r="Z8" s="1289"/>
      <c r="AA8" s="1289"/>
      <c r="AB8" s="1289"/>
      <c r="AC8" s="1289"/>
      <c r="AD8" s="1289"/>
      <c r="AE8" s="1289"/>
      <c r="AF8" s="1289"/>
      <c r="AG8" s="1289"/>
      <c r="AH8" s="1289"/>
      <c r="AI8" s="1289"/>
      <c r="AJ8" s="1289"/>
      <c r="AK8" s="1289"/>
      <c r="AL8" s="1289"/>
      <c r="AM8" s="1289"/>
      <c r="AN8" s="1289"/>
      <c r="AO8" s="1289"/>
      <c r="AP8" s="1289"/>
      <c r="AQ8" s="1289"/>
    </row>
    <row customHeight="1" ht="27">
      <c r="D9" s="1971" t="s">
        <v>87</v>
      </c>
      <c r="E9" s="1955" t="s">
        <v>121</v>
      </c>
      <c r="F9" s="1957"/>
      <c r="G9" s="1971" t="s">
        <v>104</v>
      </c>
      <c r="H9" s="1971" t="s">
        <v>87</v>
      </c>
      <c r="I9" s="1971"/>
      <c r="J9" s="1971" t="s">
        <v>122</v>
      </c>
      <c r="K9" s="2026" t="s">
        <v>123</v>
      </c>
      <c r="L9" s="2026"/>
      <c r="M9" s="2026"/>
      <c r="N9" s="2026"/>
      <c r="O9" s="2026" t="s">
        <v>124</v>
      </c>
      <c r="P9" s="2026"/>
      <c r="Q9" s="2026"/>
      <c r="R9" s="2026"/>
      <c r="S9" s="2026" t="s">
        <v>125</v>
      </c>
      <c r="T9" s="2026"/>
      <c r="U9" s="2026"/>
      <c r="V9" s="2026"/>
      <c r="W9" s="1971" t="s">
        <v>126</v>
      </c>
    </row>
    <row customHeight="1" ht="30">
      <c r="D10" s="1971"/>
      <c r="E10" s="1314" t="s">
        <v>88</v>
      </c>
      <c r="F10" s="1314" t="s">
        <v>127</v>
      </c>
      <c r="G10" s="1971"/>
      <c r="H10" s="1971"/>
      <c r="I10" s="1971"/>
      <c r="J10" s="1971"/>
      <c r="K10" s="96" t="s">
        <v>107</v>
      </c>
      <c r="L10" s="1971" t="s">
        <v>87</v>
      </c>
      <c r="M10" s="1971"/>
      <c r="N10" s="96" t="s">
        <v>128</v>
      </c>
      <c r="O10" s="96" t="s">
        <v>107</v>
      </c>
      <c r="P10" s="1971" t="s">
        <v>87</v>
      </c>
      <c r="Q10" s="1971"/>
      <c r="R10" s="96" t="s">
        <v>128</v>
      </c>
      <c r="S10" s="271" t="s">
        <v>107</v>
      </c>
      <c r="T10" s="1971" t="s">
        <v>87</v>
      </c>
      <c r="U10" s="1971"/>
      <c r="V10" s="271" t="s">
        <v>88</v>
      </c>
      <c r="W10" s="1971"/>
      <c r="Z10" s="1288" t="s">
        <v>129</v>
      </c>
      <c r="AA10" s="1288" t="s">
        <v>130</v>
      </c>
      <c r="AB10" s="1288" t="s">
        <v>131</v>
      </c>
      <c r="AC10" s="1288" t="s">
        <v>132</v>
      </c>
      <c r="AD10" s="1288" t="s">
        <v>133</v>
      </c>
      <c r="AE10" s="1288" t="s">
        <v>134</v>
      </c>
      <c r="AF10" s="1288" t="s">
        <v>135</v>
      </c>
      <c r="AG10" s="1288" t="s">
        <v>136</v>
      </c>
      <c r="AH10" s="1288" t="s">
        <v>137</v>
      </c>
      <c r="AI10" s="1288" t="s">
        <v>138</v>
      </c>
      <c r="AJ10" s="1288" t="s">
        <v>139</v>
      </c>
      <c r="AK10" s="1288" t="s">
        <v>140</v>
      </c>
      <c r="AL10" s="1288" t="s">
        <v>141</v>
      </c>
      <c r="AM10" s="1288" t="s">
        <v>142</v>
      </c>
      <c r="AN10" s="1288" t="s">
        <v>143</v>
      </c>
      <c r="AO10" s="1288" t="s">
        <v>144</v>
      </c>
      <c r="AP10" s="1288" t="s">
        <v>145</v>
      </c>
      <c r="AQ10" s="1288" t="s">
        <v>146</v>
      </c>
    </row>
    <row s="2802" customFormat="1" customHeight="1" ht="12" hidden="1">
      <c r="D11" s="1268" t="s">
        <v>108</v>
      </c>
      <c r="E11" s="1268" t="s">
        <v>109</v>
      </c>
      <c r="F11" s="1268"/>
      <c r="G11" s="1268" t="s">
        <v>89</v>
      </c>
      <c r="H11" s="2018" t="s">
        <v>110</v>
      </c>
      <c r="I11" s="2018"/>
      <c r="J11" s="1268" t="s">
        <v>91</v>
      </c>
      <c r="K11" s="1268" t="s">
        <v>92</v>
      </c>
      <c r="L11" s="2018" t="s">
        <v>111</v>
      </c>
      <c r="M11" s="2018"/>
      <c r="N11" s="1268" t="s">
        <v>147</v>
      </c>
      <c r="O11" s="1268" t="s">
        <v>148</v>
      </c>
      <c r="P11" s="2018" t="s">
        <v>149</v>
      </c>
      <c r="Q11" s="2018"/>
      <c r="R11" s="1268" t="s">
        <v>150</v>
      </c>
      <c r="S11" s="1268" t="s">
        <v>149</v>
      </c>
      <c r="T11" s="2018" t="s">
        <v>150</v>
      </c>
      <c r="U11" s="2018"/>
      <c r="V11" s="1268" t="s">
        <v>151</v>
      </c>
      <c r="W11" s="1268" t="s">
        <v>152</v>
      </c>
      <c r="Y11" s="1288"/>
      <c r="Z11" s="1288"/>
      <c r="AA11" s="1288"/>
      <c r="AB11" s="1288"/>
      <c r="AC11" s="1288"/>
      <c r="AD11" s="1288"/>
      <c r="AE11" s="1288"/>
      <c r="AF11" s="1288"/>
      <c r="AG11" s="1288"/>
      <c r="AH11" s="1288"/>
      <c r="AI11" s="1288"/>
      <c r="AJ11" s="1288"/>
      <c r="AK11" s="1288"/>
      <c r="AL11" s="1288"/>
      <c r="AM11" s="1288"/>
      <c r="AN11" s="1288"/>
      <c r="AO11" s="1288"/>
      <c r="AP11" s="1288"/>
      <c r="AQ11" s="1288"/>
    </row>
    <row customHeight="1" ht="14.25" hidden="1">
      <c r="C12" s="195"/>
      <c r="D12" s="1312">
        <v>0</v>
      </c>
      <c r="E12" s="236"/>
      <c r="F12" s="236"/>
      <c r="G12" s="236"/>
      <c r="H12" s="237"/>
      <c r="I12" s="237"/>
      <c r="J12" s="144"/>
      <c r="K12" s="98"/>
      <c r="L12" s="144"/>
      <c r="M12" s="144"/>
      <c r="N12" s="238"/>
      <c r="O12" s="98"/>
      <c r="P12" s="144"/>
      <c r="Q12" s="144"/>
      <c r="R12" s="239"/>
      <c r="S12" s="272"/>
      <c r="T12" s="280"/>
      <c r="U12" s="280"/>
      <c r="V12" s="284"/>
      <c r="W12" s="98"/>
      <c r="X12" s="127"/>
    </row>
    <row s="2817" customFormat="1" customHeight="1" ht="17.25">
      <c r="A13" s="314"/>
      <c r="C13" s="195"/>
      <c r="D13" s="1991">
        <v>1</v>
      </c>
      <c r="E13" s="1993" t="s">
        <v>153</v>
      </c>
      <c r="F13" s="1995" t="s">
        <v>56</v>
      </c>
      <c r="G13" s="1993"/>
      <c r="H13" s="1998"/>
      <c r="I13" s="2000"/>
      <c r="J13" s="2002"/>
      <c r="K13" s="1989"/>
      <c r="L13" s="1989"/>
      <c r="M13" s="1989"/>
      <c r="N13" s="2005"/>
      <c r="O13" s="1989"/>
      <c r="P13" s="1989"/>
      <c r="Q13" s="1989"/>
      <c r="R13" s="2008"/>
      <c r="S13" s="1989"/>
      <c r="T13" s="1450"/>
      <c r="U13" s="1450"/>
      <c r="V13" s="1449"/>
      <c r="W13" s="1326"/>
      <c r="Y13" s="1296"/>
      <c r="Z13" s="1296"/>
      <c r="AA13" s="1296"/>
      <c r="AB13" s="1296"/>
      <c r="AC13" s="1296" t="s">
        <v>154</v>
      </c>
      <c r="AD13" s="1296" t="s">
        <v>155</v>
      </c>
      <c r="AE13" s="1296" t="s">
        <v>156</v>
      </c>
      <c r="AF13" s="1296" t="s">
        <v>157</v>
      </c>
      <c r="AG13" s="1296" t="s">
        <v>158</v>
      </c>
      <c r="AH13" s="1296"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96" t="str">
        <f>IF($G$13=0,"",$G$13)</f>
        <v/>
      </c>
      <c r="AJ13" s="1296" t="str">
        <f>IF($J$13=0,"",$J$13)</f>
        <v/>
      </c>
      <c r="AK13" s="1296" t="str">
        <f>IF($K$13="нет","без дифференциации",IF($N$13=0,"",$N$13))</f>
        <v/>
      </c>
      <c r="AL13" s="1296" t="str">
        <f>IF($O$13="нет","без дифференциации",IF($R$13=0,"",$R$13))</f>
        <v/>
      </c>
      <c r="AM13" s="1296" t="str">
        <f>IF($S$13="нет","без дифференциации",IF($V$13=0,"",$V$13))</f>
        <v/>
      </c>
      <c r="AN13" s="1296">
        <f>$I$13</f>
        <v>0</v>
      </c>
      <c r="AO13" s="1296" t="str">
        <f>$I$13&amp;"."&amp;$M$13</f>
        <v>.</v>
      </c>
      <c r="AP13" s="1296" t="str">
        <f>$I$13&amp;"."&amp;$M$13&amp;"."&amp;$Q$13</f>
        <v>..</v>
      </c>
      <c r="AQ13" s="1296" t="str">
        <f>$I$13&amp;"."&amp;$M$13&amp;"."&amp;$Q$13&amp;"."&amp;$U$13</f>
        <v>...</v>
      </c>
    </row>
    <row s="2817" customFormat="1" customHeight="1" ht="17.25">
      <c r="A14" s="314"/>
      <c r="C14" s="313"/>
      <c r="D14" s="1991"/>
      <c r="E14" s="1993"/>
      <c r="F14" s="1996"/>
      <c r="G14" s="1993"/>
      <c r="H14" s="1999"/>
      <c r="I14" s="2001"/>
      <c r="J14" s="2003"/>
      <c r="K14" s="1990"/>
      <c r="L14" s="1990"/>
      <c r="M14" s="1990"/>
      <c r="N14" s="2006"/>
      <c r="O14" s="1990"/>
      <c r="P14" s="1990"/>
      <c r="Q14" s="1990"/>
      <c r="R14" s="2007"/>
      <c r="S14" s="1990"/>
      <c r="T14" s="1327"/>
      <c r="U14" s="1327"/>
      <c r="V14" s="1327"/>
      <c r="W14" s="1328"/>
      <c r="Y14" s="1288"/>
      <c r="Z14" s="1288"/>
      <c r="AA14" s="1288"/>
      <c r="AB14" s="1288"/>
      <c r="AC14" s="1288"/>
      <c r="AD14" s="1288"/>
      <c r="AE14" s="1288"/>
      <c r="AF14" s="1288"/>
      <c r="AG14" s="1288"/>
      <c r="AH14" s="1288"/>
      <c r="AI14" s="1288"/>
      <c r="AJ14" s="1288"/>
      <c r="AK14" s="1288"/>
      <c r="AL14" s="1288"/>
      <c r="AM14" s="1288"/>
      <c r="AN14" s="1288"/>
      <c r="AO14" s="1288"/>
      <c r="AP14" s="1288"/>
      <c r="AQ14" s="1288"/>
    </row>
    <row s="2842" customFormat="1" customHeight="1" ht="17.25">
      <c r="A15" s="314"/>
      <c r="C15" s="195"/>
      <c r="D15" s="1991"/>
      <c r="E15" s="1993"/>
      <c r="F15" s="1996"/>
      <c r="G15" s="1993"/>
      <c r="H15" s="1999"/>
      <c r="I15" s="2001"/>
      <c r="J15" s="2004"/>
      <c r="K15" s="1990"/>
      <c r="L15" s="1990"/>
      <c r="M15" s="1990"/>
      <c r="N15" s="2007"/>
      <c r="O15" s="1990"/>
      <c r="P15" s="1448"/>
      <c r="Q15" s="1327"/>
      <c r="R15" s="1327"/>
      <c r="S15" s="325"/>
      <c r="T15" s="325"/>
      <c r="U15" s="325"/>
      <c r="V15" s="325"/>
      <c r="W15" s="1328"/>
      <c r="Y15" s="1296"/>
      <c r="Z15" s="1296"/>
      <c r="AA15" s="1296"/>
      <c r="AB15" s="1296"/>
      <c r="AC15" s="1296"/>
      <c r="AD15" s="1296"/>
      <c r="AE15" s="1296"/>
      <c r="AF15" s="1296"/>
      <c r="AG15" s="1296"/>
      <c r="AH15" s="1296"/>
      <c r="AI15" s="1296"/>
      <c r="AJ15" s="1296"/>
      <c r="AK15" s="1296"/>
      <c r="AL15" s="1296"/>
      <c r="AM15" s="1296"/>
      <c r="AN15" s="1296"/>
      <c r="AO15" s="1296"/>
      <c r="AP15" s="1296"/>
      <c r="AQ15" s="1296"/>
    </row>
    <row s="2842" customFormat="1" customHeight="1" ht="17.25">
      <c r="A16" s="314"/>
      <c r="C16" s="313"/>
      <c r="D16" s="1991"/>
      <c r="E16" s="1993"/>
      <c r="F16" s="1996"/>
      <c r="G16" s="1993"/>
      <c r="H16" s="1999"/>
      <c r="I16" s="2001"/>
      <c r="J16" s="2004"/>
      <c r="K16" s="1990"/>
      <c r="L16" s="1327"/>
      <c r="M16" s="1327"/>
      <c r="N16" s="1327"/>
      <c r="O16" s="1327"/>
      <c r="P16" s="1327"/>
      <c r="Q16" s="1327"/>
      <c r="R16" s="1327"/>
      <c r="S16" s="325"/>
      <c r="T16" s="325"/>
      <c r="U16" s="325"/>
      <c r="V16" s="325"/>
      <c r="W16" s="1328"/>
      <c r="Y16" s="1288"/>
      <c r="Z16" s="1288"/>
      <c r="AA16" s="1288"/>
      <c r="AB16" s="1288"/>
      <c r="AC16" s="1288"/>
      <c r="AD16" s="1288"/>
      <c r="AE16" s="1288"/>
      <c r="AF16" s="1288"/>
      <c r="AG16" s="1288"/>
      <c r="AH16" s="1288"/>
      <c r="AI16" s="1288"/>
      <c r="AJ16" s="1288"/>
      <c r="AK16" s="1288"/>
      <c r="AL16" s="1288"/>
      <c r="AM16" s="1288"/>
      <c r="AN16" s="1288"/>
      <c r="AO16" s="1288"/>
      <c r="AP16" s="1288"/>
      <c r="AQ16" s="1288"/>
    </row>
    <row s="2817" customFormat="1" customHeight="1" ht="17.25">
      <c r="A17" s="314"/>
      <c r="C17" s="313"/>
      <c r="D17" s="1992"/>
      <c r="E17" s="1994"/>
      <c r="F17" s="1997"/>
      <c r="G17" s="1994"/>
      <c r="H17" s="1329"/>
      <c r="I17" s="1330"/>
      <c r="J17" s="1330"/>
      <c r="K17" s="1330"/>
      <c r="L17" s="1330"/>
      <c r="M17" s="1330"/>
      <c r="N17" s="1330"/>
      <c r="O17" s="1330"/>
      <c r="P17" s="1330"/>
      <c r="Q17" s="1330"/>
      <c r="R17" s="1330"/>
      <c r="S17" s="1331"/>
      <c r="T17" s="1331"/>
      <c r="U17" s="1331"/>
      <c r="V17" s="1331"/>
      <c r="W17" s="1332"/>
      <c r="Y17" s="1288"/>
      <c r="Z17" s="1288"/>
      <c r="AA17" s="1288"/>
      <c r="AB17" s="1288"/>
      <c r="AC17" s="1288"/>
      <c r="AD17" s="1288"/>
      <c r="AE17" s="1288"/>
      <c r="AF17" s="1288"/>
      <c r="AG17" s="1288"/>
      <c r="AH17" s="1288"/>
      <c r="AI17" s="1288"/>
      <c r="AJ17" s="1288"/>
      <c r="AK17" s="1288"/>
      <c r="AL17" s="1288"/>
      <c r="AM17" s="1288"/>
      <c r="AN17" s="1288"/>
      <c r="AO17" s="1288"/>
      <c r="AP17" s="1288"/>
      <c r="AQ17" s="1288"/>
    </row>
    <row s="2853" customFormat="1" customHeight="1" ht="17.25">
      <c r="A18" s="314"/>
      <c r="C18" s="195"/>
      <c r="D18" s="1991">
        <v>2</v>
      </c>
      <c r="E18" s="1993" t="s">
        <v>159</v>
      </c>
      <c r="F18" s="1995" t="s">
        <v>61</v>
      </c>
      <c r="G18" s="2854" t="str">
        <f>"Производство тепловой энергии. Некомбинированная выработка, Передача. Тепловая энергия"&amp;", "&amp;INDEX(HEAT_PT_VED_NAME,MATCH(4190070,HEAT_PT_VED_ID,0))</f>
        <v>Производство тепловой энергии. Некомбинированная выработка, Передача. Тепловая энергия, Сбыт. Тепловая энергия</v>
      </c>
      <c r="H18" s="2855"/>
      <c r="I18" s="2855">
        <v>1</v>
      </c>
      <c r="J18" s="2856" t="s">
        <v>160</v>
      </c>
      <c r="K18" s="2857" t="s">
        <v>61</v>
      </c>
      <c r="L18" s="2858"/>
      <c r="M18" s="2858" t="s">
        <v>108</v>
      </c>
      <c r="N18" s="2859" t="str">
        <f>IF(Z18="","",INDEX(TERRITORY_MR_LIST,MATCH(Z18,TERRITORY_LIST_ID,0)))</f>
        <v>Территория 1</v>
      </c>
      <c r="O18" s="2857" t="s">
        <v>56</v>
      </c>
      <c r="P18" s="2858"/>
      <c r="Q18" s="2858" t="s">
        <v>108</v>
      </c>
      <c r="R18" s="2860" t="s">
        <v>24</v>
      </c>
      <c r="S18" s="2861" t="s">
        <v>56</v>
      </c>
      <c r="T18" s="2858"/>
      <c r="U18" s="2858" t="s">
        <v>108</v>
      </c>
      <c r="V18" s="2860" t="s">
        <v>24</v>
      </c>
      <c r="W18" s="2856"/>
      <c r="X18" s="1296"/>
      <c r="Y18" s="1296"/>
      <c r="Z18" s="1296" t="s">
        <v>97</v>
      </c>
      <c r="AA18" s="1296"/>
      <c r="AB18" s="1296" t="s">
        <v>161</v>
      </c>
      <c r="AC18" s="1296" t="s">
        <v>162</v>
      </c>
      <c r="AD18" s="1296" t="s">
        <v>163</v>
      </c>
      <c r="AE18" s="1296" t="s">
        <v>164</v>
      </c>
      <c r="AF18" s="1296" t="s">
        <v>165</v>
      </c>
      <c r="AG18" s="1296" t="s">
        <v>166</v>
      </c>
      <c r="AH18" s="1296" t="str">
        <f>IF($E$18=0,"",$E$18)</f>
        <v>Тарифы на тепловую энергию (мощность), поставляемую теплоснабжающими организациями потребителям, другим теплоснабжающим организациям</v>
      </c>
      <c r="AI18" s="1296" t="str">
        <f>IF($G$18=0,"",$G$18)</f>
        <v>Производство тепловой энергии. Некомбинированная выработка, Передача. Тепловая энергия, Сбыт. Тепловая энергия</v>
      </c>
      <c r="AJ18" s="1296" t="str">
        <f>IF($J$18=0,"",$J$18)</f>
        <v>Тариф на тепловую энергию</v>
      </c>
      <c r="AK18" s="1296" t="str">
        <f>IF($K$18="нет","без дифференциации",IF($N$18=0,"",$N$18))</f>
        <v>Территория 1</v>
      </c>
      <c r="AL18" s="1296" t="str">
        <f>IF($O$18="нет","без дифференциации",IF($R$18=0,"",$R$18))</f>
        <v>без дифференциации</v>
      </c>
      <c r="AM18" s="1296" t="str">
        <f>IF($S$18="нет","без дифференциации",IF($V$18=0,"",$V$18))</f>
        <v>без дифференциации</v>
      </c>
      <c r="AN18" s="1813">
        <f>$I$18</f>
        <v>1</v>
      </c>
      <c r="AO18" s="1296" t="str">
        <f>$I$18&amp;"."&amp;$M$18</f>
        <v>1.1</v>
      </c>
      <c r="AP18" s="1288" t="str">
        <f>$I$18&amp;"."&amp;$M$18&amp;"."&amp;$Q$18</f>
        <v>1.1.1</v>
      </c>
      <c r="AQ18" s="1288" t="str">
        <f>$I$18&amp;"."&amp;$M$18&amp;"."&amp;$Q$18&amp;"."&amp;$U$18</f>
        <v>1.1.1.1</v>
      </c>
    </row>
    <row s="2853" customFormat="1" customHeight="1" ht="17.25">
      <c r="A19" s="314"/>
      <c r="C19" s="313"/>
      <c r="D19" s="1991"/>
      <c r="E19" s="1993"/>
      <c r="F19" s="1996"/>
      <c r="G19" s="2854"/>
      <c r="H19" s="2855"/>
      <c r="I19" s="2855"/>
      <c r="J19" s="2856"/>
      <c r="K19" s="2863"/>
      <c r="L19" s="2858"/>
      <c r="M19" s="2858"/>
      <c r="N19" s="2859"/>
      <c r="O19" s="2863"/>
      <c r="P19" s="2858"/>
      <c r="Q19" s="2858"/>
      <c r="R19" s="2860" t="s">
        <v>24</v>
      </c>
      <c r="S19" s="2861"/>
      <c r="T19" s="2864"/>
      <c r="U19" s="2865"/>
      <c r="V19" s="2866" t="s">
        <v>167</v>
      </c>
      <c r="W19" s="2867"/>
      <c r="X19" s="1288"/>
      <c r="Y19" s="1288"/>
      <c r="Z19" s="1288"/>
      <c r="AA19" s="1288"/>
      <c r="AB19" s="1288"/>
      <c r="AC19" s="1288"/>
      <c r="AD19" s="1288"/>
      <c r="AE19" s="1288"/>
      <c r="AF19" s="1288"/>
      <c r="AG19" s="1288"/>
      <c r="AH19" s="1288"/>
      <c r="AI19" s="1288"/>
      <c r="AJ19" s="1288"/>
      <c r="AK19" s="1288"/>
      <c r="AL19" s="1288"/>
      <c r="AM19" s="1288"/>
      <c r="AN19" s="1288"/>
      <c r="AO19" s="1288"/>
      <c r="AP19" s="1288"/>
      <c r="AQ19" s="1288"/>
    </row>
    <row s="2853" customFormat="1" customHeight="1" ht="17.25">
      <c r="A20" s="314"/>
      <c r="C20" s="313"/>
      <c r="D20" s="1992"/>
      <c r="E20" s="1994"/>
      <c r="F20" s="1996"/>
      <c r="G20" s="2868"/>
      <c r="H20" s="2869"/>
      <c r="I20" s="2869"/>
      <c r="J20" s="2870"/>
      <c r="K20" s="2863"/>
      <c r="L20" s="2869"/>
      <c r="M20" s="2869"/>
      <c r="N20" s="2871"/>
      <c r="O20" s="2872"/>
      <c r="P20" s="2873"/>
      <c r="Q20" s="2874"/>
      <c r="R20" s="2875" t="s">
        <v>168</v>
      </c>
      <c r="S20" s="2876"/>
      <c r="T20" s="2877"/>
      <c r="U20" s="2878"/>
      <c r="V20" s="2879"/>
      <c r="W20" s="2880"/>
      <c r="X20" s="1288"/>
      <c r="Y20" s="1288"/>
      <c r="Z20" s="1288"/>
      <c r="AA20" s="1288"/>
      <c r="AB20" s="1288"/>
      <c r="AC20" s="1288"/>
      <c r="AD20" s="1288"/>
      <c r="AE20" s="1288"/>
      <c r="AF20" s="1288"/>
      <c r="AG20" s="1288"/>
      <c r="AH20" s="1288"/>
      <c r="AI20" s="1288"/>
      <c r="AJ20" s="1288"/>
      <c r="AK20" s="1288"/>
      <c r="AL20" s="1288"/>
      <c r="AM20" s="1288"/>
      <c r="AN20" s="1288"/>
      <c r="AO20" s="1288"/>
      <c r="AP20" s="1288"/>
      <c r="AQ20" s="1288"/>
    </row>
    <row s="2853" customFormat="1" customHeight="1" ht="17.25">
      <c r="A21" s="314"/>
      <c r="C21" s="313"/>
      <c r="D21" s="1992"/>
      <c r="E21" s="1994"/>
      <c r="F21" s="1996"/>
      <c r="G21" s="2868"/>
      <c r="H21" s="2869"/>
      <c r="I21" s="2869"/>
      <c r="J21" s="2870"/>
      <c r="K21" s="2872"/>
      <c r="L21" s="2881"/>
      <c r="M21" s="2882"/>
      <c r="N21" s="2883" t="s">
        <v>169</v>
      </c>
      <c r="O21" s="2884"/>
      <c r="P21" s="2885"/>
      <c r="Q21" s="2886"/>
      <c r="R21" s="2887"/>
      <c r="S21" s="2888"/>
      <c r="T21" s="2889"/>
      <c r="U21" s="2890"/>
      <c r="V21" s="2891"/>
      <c r="W21" s="2892"/>
      <c r="X21" s="1288"/>
      <c r="Y21" s="1288"/>
      <c r="Z21" s="1288"/>
      <c r="AA21" s="1288"/>
      <c r="AB21" s="1288"/>
      <c r="AC21" s="1288"/>
      <c r="AD21" s="1288"/>
      <c r="AE21" s="1288"/>
      <c r="AF21" s="1288"/>
      <c r="AG21" s="1288"/>
      <c r="AH21" s="1288"/>
      <c r="AI21" s="1288"/>
      <c r="AJ21" s="1288"/>
      <c r="AK21" s="1288"/>
      <c r="AL21" s="1288"/>
      <c r="AM21" s="1288"/>
      <c r="AN21" s="1288"/>
      <c r="AO21" s="1288"/>
      <c r="AP21" s="1288"/>
      <c r="AQ21" s="1288"/>
    </row>
    <row s="2853" customFormat="1" customHeight="1" ht="17.25">
      <c r="A22" s="314"/>
      <c r="C22" s="313"/>
      <c r="D22" s="1992"/>
      <c r="E22" s="1994"/>
      <c r="F22" s="1997"/>
      <c r="G22" s="2868"/>
      <c r="H22" s="2893"/>
      <c r="I22" s="2894"/>
      <c r="J22" s="2895" t="s">
        <v>170</v>
      </c>
      <c r="K22" s="2896"/>
      <c r="L22" s="2897"/>
      <c r="M22" s="2898"/>
      <c r="N22" s="2899"/>
      <c r="O22" s="2900"/>
      <c r="P22" s="2901"/>
      <c r="Q22" s="2902"/>
      <c r="R22" s="2903"/>
      <c r="S22" s="2904"/>
      <c r="T22" s="2905"/>
      <c r="U22" s="2906"/>
      <c r="V22" s="2907"/>
      <c r="W22" s="2908"/>
      <c r="X22" s="1288"/>
      <c r="Y22" s="1288"/>
      <c r="Z22" s="1288"/>
      <c r="AA22" s="1288"/>
      <c r="AB22" s="1288"/>
      <c r="AC22" s="1288"/>
      <c r="AD22" s="1288"/>
      <c r="AE22" s="1288"/>
      <c r="AF22" s="1288"/>
      <c r="AG22" s="1288"/>
      <c r="AH22" s="1288"/>
      <c r="AI22" s="1288"/>
      <c r="AJ22" s="1288"/>
      <c r="AK22" s="1288"/>
      <c r="AL22" s="1288"/>
      <c r="AM22" s="1288"/>
      <c r="AN22" s="1288"/>
      <c r="AO22" s="1288"/>
      <c r="AP22" s="1288"/>
      <c r="AQ22" s="1288"/>
    </row>
    <row s="2853" customFormat="1" customHeight="1" ht="17.25">
      <c r="A23" s="314"/>
      <c r="C23" s="195"/>
      <c r="D23" s="1991">
        <v>3</v>
      </c>
      <c r="E23" s="1993" t="s">
        <v>171</v>
      </c>
      <c r="F23" s="1995" t="s">
        <v>56</v>
      </c>
      <c r="G23" s="1993"/>
      <c r="H23" s="1998"/>
      <c r="I23" s="2000"/>
      <c r="J23" s="2002"/>
      <c r="K23" s="1989"/>
      <c r="L23" s="1989"/>
      <c r="M23" s="1989"/>
      <c r="N23" s="2005"/>
      <c r="O23" s="1989"/>
      <c r="P23" s="1989"/>
      <c r="Q23" s="1989"/>
      <c r="R23" s="2008"/>
      <c r="S23" s="1989"/>
      <c r="T23" s="1450"/>
      <c r="U23" s="1450"/>
      <c r="V23" s="1449"/>
      <c r="W23" s="1326"/>
      <c r="X23" s="1296"/>
      <c r="Y23" s="1296"/>
      <c r="Z23" s="1296"/>
      <c r="AA23" s="1296"/>
      <c r="AB23" s="1296"/>
      <c r="AC23" s="1296" t="s">
        <v>172</v>
      </c>
      <c r="AD23" s="1296" t="s">
        <v>173</v>
      </c>
      <c r="AE23" s="1296" t="s">
        <v>174</v>
      </c>
      <c r="AF23" s="1296" t="s">
        <v>175</v>
      </c>
      <c r="AG23" s="1296" t="s">
        <v>176</v>
      </c>
      <c r="AH23" s="1296" t="str">
        <f>IF($E$23=0,"",$E$23)</f>
        <v>Тарифы на теплоноситель, поставляемый теплоснабжающими организациями потребителям, другим теплоснабжающим организациям</v>
      </c>
      <c r="AI23" s="1296" t="str">
        <f>IF($G$23=0,"",$G$23)</f>
        <v/>
      </c>
      <c r="AJ23" s="1296" t="str">
        <f>IF($J$23=0,"",$J$23)</f>
        <v/>
      </c>
      <c r="AK23" s="1296" t="str">
        <f>IF($K$23="нет","без дифференциации",IF($N$23=0,"",$N$23))</f>
        <v/>
      </c>
      <c r="AL23" s="1296" t="str">
        <f>IF($O$23="нет","без дифференциации",IF($R$23=0,"",$R$23))</f>
        <v/>
      </c>
      <c r="AM23" s="1296" t="str">
        <f>IF($S$23="нет","без дифференциации",IF($V$23=0,"",$V$23))</f>
        <v/>
      </c>
      <c r="AN23" s="1813">
        <f>$I$23</f>
        <v>0</v>
      </c>
      <c r="AO23" s="1296" t="str">
        <f>$I$23&amp;"."&amp;$M$23</f>
        <v>.</v>
      </c>
      <c r="AP23" s="1288" t="str">
        <f>$I$23&amp;"."&amp;$M$23&amp;"."&amp;$Q$23</f>
        <v>..</v>
      </c>
      <c r="AQ23" s="1288" t="str">
        <f>$I$23&amp;"."&amp;$M$23&amp;"."&amp;$Q$23&amp;"."&amp;$U$23</f>
        <v>...</v>
      </c>
    </row>
    <row s="2853" customFormat="1" customHeight="1" ht="17.25">
      <c r="A24" s="314"/>
      <c r="C24" s="313"/>
      <c r="D24" s="1991"/>
      <c r="E24" s="1993"/>
      <c r="F24" s="1996"/>
      <c r="G24" s="1993"/>
      <c r="H24" s="1999"/>
      <c r="I24" s="2001"/>
      <c r="J24" s="2003"/>
      <c r="K24" s="1990"/>
      <c r="L24" s="1990"/>
      <c r="M24" s="1990"/>
      <c r="N24" s="2006"/>
      <c r="O24" s="1990"/>
      <c r="P24" s="1990"/>
      <c r="Q24" s="1990"/>
      <c r="R24" s="2007"/>
      <c r="S24" s="1990"/>
      <c r="T24" s="1327"/>
      <c r="U24" s="1327"/>
      <c r="V24" s="1327"/>
      <c r="W24" s="1328"/>
      <c r="X24" s="1288"/>
      <c r="Y24" s="1288"/>
      <c r="Z24" s="1288"/>
      <c r="AA24" s="1288"/>
      <c r="AB24" s="1288"/>
      <c r="AC24" s="1288"/>
      <c r="AD24" s="1288"/>
      <c r="AE24" s="1288"/>
      <c r="AF24" s="1288"/>
      <c r="AG24" s="1288"/>
      <c r="AH24" s="1288"/>
      <c r="AI24" s="1288"/>
      <c r="AJ24" s="1288"/>
      <c r="AK24" s="1288"/>
      <c r="AL24" s="1288"/>
      <c r="AM24" s="1288"/>
      <c r="AN24" s="1288"/>
      <c r="AO24" s="1288"/>
      <c r="AP24" s="1288"/>
      <c r="AQ24" s="1288"/>
    </row>
    <row s="2853" customFormat="1" customHeight="1" ht="17.25">
      <c r="A25" s="314"/>
      <c r="C25" s="313"/>
      <c r="D25" s="1992"/>
      <c r="E25" s="1994"/>
      <c r="F25" s="1996"/>
      <c r="G25" s="1994"/>
      <c r="H25" s="1999"/>
      <c r="I25" s="2001"/>
      <c r="J25" s="2004"/>
      <c r="K25" s="1990"/>
      <c r="L25" s="1990"/>
      <c r="M25" s="1990"/>
      <c r="N25" s="2007"/>
      <c r="O25" s="1990"/>
      <c r="P25" s="1448"/>
      <c r="Q25" s="1327"/>
      <c r="R25" s="1327"/>
      <c r="S25" s="325"/>
      <c r="T25" s="325"/>
      <c r="U25" s="325"/>
      <c r="V25" s="325"/>
      <c r="W25" s="1328"/>
      <c r="X25" s="1288"/>
      <c r="Y25" s="1288"/>
      <c r="Z25" s="1288"/>
      <c r="AA25" s="1288"/>
      <c r="AB25" s="1288"/>
      <c r="AC25" s="1288"/>
      <c r="AD25" s="1288"/>
      <c r="AE25" s="1288"/>
      <c r="AF25" s="1288"/>
      <c r="AG25" s="1288"/>
      <c r="AH25" s="1288"/>
      <c r="AI25" s="1288"/>
      <c r="AJ25" s="1288"/>
      <c r="AK25" s="1288"/>
      <c r="AL25" s="1288"/>
      <c r="AM25" s="1288"/>
      <c r="AN25" s="1288"/>
      <c r="AO25" s="1288"/>
      <c r="AP25" s="1288"/>
      <c r="AQ25" s="1288"/>
    </row>
    <row s="2853" customFormat="1" customHeight="1" ht="17.25">
      <c r="A26" s="314"/>
      <c r="C26" s="313"/>
      <c r="D26" s="1992"/>
      <c r="E26" s="1994"/>
      <c r="F26" s="1996"/>
      <c r="G26" s="1994"/>
      <c r="H26" s="1999"/>
      <c r="I26" s="2001"/>
      <c r="J26" s="2004"/>
      <c r="K26" s="1990"/>
      <c r="L26" s="1327"/>
      <c r="M26" s="1327"/>
      <c r="N26" s="1327"/>
      <c r="O26" s="1327"/>
      <c r="P26" s="1327"/>
      <c r="Q26" s="1327"/>
      <c r="R26" s="1327"/>
      <c r="S26" s="325"/>
      <c r="T26" s="325"/>
      <c r="U26" s="325"/>
      <c r="V26" s="325"/>
      <c r="W26" s="1328"/>
      <c r="X26" s="1288"/>
      <c r="Y26" s="1288"/>
      <c r="Z26" s="1288"/>
      <c r="AA26" s="1288"/>
      <c r="AB26" s="1288"/>
      <c r="AC26" s="1288"/>
      <c r="AD26" s="1288"/>
      <c r="AE26" s="1288"/>
      <c r="AF26" s="1288"/>
      <c r="AG26" s="1288"/>
      <c r="AH26" s="1288"/>
      <c r="AI26" s="1288"/>
      <c r="AJ26" s="1288"/>
      <c r="AK26" s="1288"/>
      <c r="AL26" s="1288"/>
      <c r="AM26" s="1288"/>
      <c r="AN26" s="1288"/>
      <c r="AO26" s="1288"/>
      <c r="AP26" s="1288"/>
      <c r="AQ26" s="1288"/>
    </row>
    <row s="2853" customFormat="1" customHeight="1" ht="17.25">
      <c r="A27" s="314"/>
      <c r="C27" s="313"/>
      <c r="D27" s="1992"/>
      <c r="E27" s="1994"/>
      <c r="F27" s="1997"/>
      <c r="G27" s="1994"/>
      <c r="H27" s="1329"/>
      <c r="I27" s="1330"/>
      <c r="J27" s="1330"/>
      <c r="K27" s="1330"/>
      <c r="L27" s="1330"/>
      <c r="M27" s="1330"/>
      <c r="N27" s="1330"/>
      <c r="O27" s="1330"/>
      <c r="P27" s="1330"/>
      <c r="Q27" s="1330"/>
      <c r="R27" s="1330"/>
      <c r="S27" s="1331"/>
      <c r="T27" s="1331"/>
      <c r="U27" s="1331"/>
      <c r="V27" s="1331"/>
      <c r="W27" s="1332"/>
      <c r="X27" s="1288"/>
      <c r="Y27" s="1288"/>
      <c r="Z27" s="1288"/>
      <c r="AA27" s="1288"/>
      <c r="AB27" s="1288"/>
      <c r="AC27" s="1288"/>
      <c r="AD27" s="1288"/>
      <c r="AE27" s="1288"/>
      <c r="AF27" s="1288"/>
      <c r="AG27" s="1288"/>
      <c r="AH27" s="1288"/>
      <c r="AI27" s="1288"/>
      <c r="AJ27" s="1288"/>
      <c r="AK27" s="1288"/>
      <c r="AL27" s="1288"/>
      <c r="AM27" s="1288"/>
      <c r="AN27" s="1288"/>
      <c r="AO27" s="1288"/>
      <c r="AP27" s="1288"/>
      <c r="AQ27" s="1288"/>
    </row>
    <row s="2853" customFormat="1" customHeight="1" ht="17.25">
      <c r="A28" s="314"/>
      <c r="C28" s="195"/>
      <c r="D28" s="1991">
        <v>4</v>
      </c>
      <c r="E28" s="1993" t="s">
        <v>177</v>
      </c>
      <c r="F28" s="1995" t="s">
        <v>56</v>
      </c>
      <c r="G28" s="1993"/>
      <c r="H28" s="1998"/>
      <c r="I28" s="2000"/>
      <c r="J28" s="2002"/>
      <c r="K28" s="1989"/>
      <c r="L28" s="1989"/>
      <c r="M28" s="1989"/>
      <c r="N28" s="2005"/>
      <c r="O28" s="1989"/>
      <c r="P28" s="1989"/>
      <c r="Q28" s="1989"/>
      <c r="R28" s="2008"/>
      <c r="S28" s="1989"/>
      <c r="T28" s="1450"/>
      <c r="U28" s="1450"/>
      <c r="V28" s="1449"/>
      <c r="W28" s="1326"/>
      <c r="X28" s="1296"/>
      <c r="Y28" s="1296"/>
      <c r="Z28" s="1296"/>
      <c r="AA28" s="1296"/>
      <c r="AB28" s="1296"/>
      <c r="AC28" s="1296" t="s">
        <v>178</v>
      </c>
      <c r="AD28" s="1296" t="s">
        <v>179</v>
      </c>
      <c r="AE28" s="1296" t="s">
        <v>180</v>
      </c>
      <c r="AF28" s="1296" t="s">
        <v>181</v>
      </c>
      <c r="AG28" s="1296" t="s">
        <v>182</v>
      </c>
      <c r="AH28" s="1296"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296" t="str">
        <f>IF($G$28=0,"",$G$28)</f>
        <v/>
      </c>
      <c r="AJ28" s="1296" t="str">
        <f>IF($J$28=0,"",$J$28)</f>
        <v/>
      </c>
      <c r="AK28" s="1296" t="str">
        <f>IF($K$28="нет","без дифференциации",IF($N$28=0,"",$N$28))</f>
        <v/>
      </c>
      <c r="AL28" s="1296" t="str">
        <f>IF($O$28="нет","без дифференциации",IF($R$28=0,"",$R$28))</f>
        <v/>
      </c>
      <c r="AM28" s="1296" t="str">
        <f>IF($S$28="нет","без дифференциации",IF($V$28=0,"",$V$28))</f>
        <v/>
      </c>
      <c r="AN28" s="1813">
        <f>$I$28</f>
        <v>0</v>
      </c>
      <c r="AO28" s="1296" t="str">
        <f>$I$28&amp;"."&amp;$M$28</f>
        <v>.</v>
      </c>
      <c r="AP28" s="1288" t="str">
        <f>$I$28&amp;"."&amp;$M$28&amp;"."&amp;$Q$28</f>
        <v>..</v>
      </c>
      <c r="AQ28" s="1288" t="str">
        <f>$I$28&amp;"."&amp;$M$28&amp;"."&amp;$Q$28&amp;"."&amp;$U$28</f>
        <v>...</v>
      </c>
    </row>
    <row s="2853" customFormat="1" customHeight="1" ht="17.25">
      <c r="A29" s="314"/>
      <c r="C29" s="313"/>
      <c r="D29" s="1991"/>
      <c r="E29" s="1993"/>
      <c r="F29" s="1996"/>
      <c r="G29" s="1993"/>
      <c r="H29" s="1999"/>
      <c r="I29" s="2001"/>
      <c r="J29" s="2003"/>
      <c r="K29" s="1990"/>
      <c r="L29" s="1990"/>
      <c r="M29" s="1990"/>
      <c r="N29" s="2006"/>
      <c r="O29" s="1990"/>
      <c r="P29" s="1990"/>
      <c r="Q29" s="1990"/>
      <c r="R29" s="2007"/>
      <c r="S29" s="1990"/>
      <c r="T29" s="1327"/>
      <c r="U29" s="1327"/>
      <c r="V29" s="1327"/>
      <c r="W29" s="1328"/>
      <c r="X29" s="1288"/>
      <c r="Y29" s="1288"/>
      <c r="Z29" s="1288"/>
      <c r="AA29" s="1288"/>
      <c r="AB29" s="1288"/>
      <c r="AC29" s="1288"/>
      <c r="AD29" s="1288"/>
      <c r="AE29" s="1288"/>
      <c r="AF29" s="1288"/>
      <c r="AG29" s="1288"/>
      <c r="AH29" s="1288"/>
      <c r="AI29" s="1288"/>
      <c r="AJ29" s="1288"/>
      <c r="AK29" s="1288"/>
      <c r="AL29" s="1288"/>
      <c r="AM29" s="1288"/>
      <c r="AN29" s="1288"/>
      <c r="AO29" s="1288"/>
      <c r="AP29" s="1288"/>
      <c r="AQ29" s="1288"/>
    </row>
    <row s="2853" customFormat="1" customHeight="1" ht="17.25">
      <c r="A30" s="314"/>
      <c r="C30" s="313"/>
      <c r="D30" s="1992"/>
      <c r="E30" s="1994"/>
      <c r="F30" s="1996"/>
      <c r="G30" s="1994"/>
      <c r="H30" s="1999"/>
      <c r="I30" s="2001"/>
      <c r="J30" s="2004"/>
      <c r="K30" s="1990"/>
      <c r="L30" s="1990"/>
      <c r="M30" s="1990"/>
      <c r="N30" s="2007"/>
      <c r="O30" s="1990"/>
      <c r="P30" s="1448"/>
      <c r="Q30" s="1327"/>
      <c r="R30" s="1327"/>
      <c r="S30" s="325"/>
      <c r="T30" s="325"/>
      <c r="U30" s="325"/>
      <c r="V30" s="325"/>
      <c r="W30" s="1328"/>
      <c r="X30" s="1288"/>
      <c r="Y30" s="1288"/>
      <c r="Z30" s="1288"/>
      <c r="AA30" s="1288"/>
      <c r="AB30" s="1288"/>
      <c r="AC30" s="1288"/>
      <c r="AD30" s="1288"/>
      <c r="AE30" s="1288"/>
      <c r="AF30" s="1288"/>
      <c r="AG30" s="1288"/>
      <c r="AH30" s="1288"/>
      <c r="AI30" s="1288"/>
      <c r="AJ30" s="1288"/>
      <c r="AK30" s="1288"/>
      <c r="AL30" s="1288"/>
      <c r="AM30" s="1288"/>
      <c r="AN30" s="1288"/>
      <c r="AO30" s="1288"/>
      <c r="AP30" s="1288"/>
      <c r="AQ30" s="1288"/>
    </row>
    <row s="2853" customFormat="1" customHeight="1" ht="17.25">
      <c r="A31" s="314"/>
      <c r="C31" s="313"/>
      <c r="D31" s="1992"/>
      <c r="E31" s="1994"/>
      <c r="F31" s="1996"/>
      <c r="G31" s="1994"/>
      <c r="H31" s="1999"/>
      <c r="I31" s="2001"/>
      <c r="J31" s="2004"/>
      <c r="K31" s="1990"/>
      <c r="L31" s="1327"/>
      <c r="M31" s="1327"/>
      <c r="N31" s="1327"/>
      <c r="O31" s="1327"/>
      <c r="P31" s="1327"/>
      <c r="Q31" s="1327"/>
      <c r="R31" s="1327"/>
      <c r="S31" s="325"/>
      <c r="T31" s="325"/>
      <c r="U31" s="325"/>
      <c r="V31" s="325"/>
      <c r="W31" s="1328"/>
      <c r="X31" s="1288"/>
      <c r="Y31" s="1288"/>
      <c r="Z31" s="1288"/>
      <c r="AA31" s="1288"/>
      <c r="AB31" s="1288"/>
      <c r="AC31" s="1288"/>
      <c r="AD31" s="1288"/>
      <c r="AE31" s="1288"/>
      <c r="AF31" s="1288"/>
      <c r="AG31" s="1288"/>
      <c r="AH31" s="1288"/>
      <c r="AI31" s="1288"/>
      <c r="AJ31" s="1288"/>
      <c r="AK31" s="1288"/>
      <c r="AL31" s="1288"/>
      <c r="AM31" s="1288"/>
      <c r="AN31" s="1288"/>
      <c r="AO31" s="1288"/>
      <c r="AP31" s="1288"/>
      <c r="AQ31" s="1288"/>
    </row>
    <row s="2853" customFormat="1" customHeight="1" ht="17.25">
      <c r="A32" s="314"/>
      <c r="C32" s="313"/>
      <c r="D32" s="1992"/>
      <c r="E32" s="1994"/>
      <c r="F32" s="1997"/>
      <c r="G32" s="1994"/>
      <c r="H32" s="1329"/>
      <c r="I32" s="1330"/>
      <c r="J32" s="1330"/>
      <c r="K32" s="1330"/>
      <c r="L32" s="1330"/>
      <c r="M32" s="1330"/>
      <c r="N32" s="1330"/>
      <c r="O32" s="1330"/>
      <c r="P32" s="1330"/>
      <c r="Q32" s="1330"/>
      <c r="R32" s="1330"/>
      <c r="S32" s="1331"/>
      <c r="T32" s="1331"/>
      <c r="U32" s="1331"/>
      <c r="V32" s="1331"/>
      <c r="W32" s="1332"/>
      <c r="X32" s="1288"/>
      <c r="Y32" s="1288"/>
      <c r="Z32" s="1288"/>
      <c r="AA32" s="1288"/>
      <c r="AB32" s="1288"/>
      <c r="AC32" s="1288"/>
      <c r="AD32" s="1288"/>
      <c r="AE32" s="1288"/>
      <c r="AF32" s="1288"/>
      <c r="AG32" s="1288"/>
      <c r="AH32" s="1288"/>
      <c r="AI32" s="1288"/>
      <c r="AJ32" s="1288"/>
      <c r="AK32" s="1288"/>
      <c r="AL32" s="1288"/>
      <c r="AM32" s="1288"/>
      <c r="AN32" s="1288"/>
      <c r="AO32" s="1288"/>
      <c r="AP32" s="1288"/>
      <c r="AQ32" s="1288"/>
    </row>
    <row s="2853" customFormat="1" customHeight="1" ht="17.25">
      <c r="A33" s="314"/>
      <c r="C33" s="195"/>
      <c r="D33" s="1991">
        <v>5</v>
      </c>
      <c r="E33" s="1993" t="s">
        <v>183</v>
      </c>
      <c r="F33" s="1995" t="s">
        <v>56</v>
      </c>
      <c r="G33" s="1993"/>
      <c r="H33" s="1998"/>
      <c r="I33" s="2000"/>
      <c r="J33" s="2002"/>
      <c r="K33" s="1989"/>
      <c r="L33" s="1989"/>
      <c r="M33" s="1989"/>
      <c r="N33" s="2005"/>
      <c r="O33" s="1989"/>
      <c r="P33" s="1989"/>
      <c r="Q33" s="1989"/>
      <c r="R33" s="2008"/>
      <c r="S33" s="1989"/>
      <c r="T33" s="1450"/>
      <c r="U33" s="1450"/>
      <c r="V33" s="1449"/>
      <c r="W33" s="1326"/>
      <c r="X33" s="1296"/>
      <c r="Y33" s="1296"/>
      <c r="Z33" s="1296"/>
      <c r="AA33" s="1296"/>
      <c r="AB33" s="1296"/>
      <c r="AC33" s="1296" t="s">
        <v>184</v>
      </c>
      <c r="AD33" s="1296" t="s">
        <v>185</v>
      </c>
      <c r="AE33" s="1296" t="s">
        <v>186</v>
      </c>
      <c r="AF33" s="1296" t="s">
        <v>187</v>
      </c>
      <c r="AG33" s="1296" t="s">
        <v>188</v>
      </c>
      <c r="AH33" s="1296" t="str">
        <f>IF($E$33=0,"",$E$33)</f>
        <v>Тарифы на услуги по передаче тепловой энергии</v>
      </c>
      <c r="AI33" s="1296" t="str">
        <f>IF($G$33=0,"",$G$33)</f>
        <v/>
      </c>
      <c r="AJ33" s="1296" t="str">
        <f>IF($J$33=0,"",$J$33)</f>
        <v/>
      </c>
      <c r="AK33" s="1296" t="str">
        <f>IF($K$33="нет","без дифференциации",IF($N$33=0,"",$N$33))</f>
        <v/>
      </c>
      <c r="AL33" s="1296" t="str">
        <f>IF($O$33="нет","без дифференциации",IF($R$33=0,"",$R$33))</f>
        <v/>
      </c>
      <c r="AM33" s="1296" t="str">
        <f>IF($S$33="нет","без дифференциации",IF($V$33=0,"",$V$33))</f>
        <v/>
      </c>
      <c r="AN33" s="1813">
        <f>$I$33</f>
        <v>0</v>
      </c>
      <c r="AO33" s="1296" t="str">
        <f>$I$33&amp;"."&amp;$M$33</f>
        <v>.</v>
      </c>
      <c r="AP33" s="1288" t="str">
        <f>$I$33&amp;"."&amp;$M$33&amp;"."&amp;$Q$33</f>
        <v>..</v>
      </c>
      <c r="AQ33" s="1288" t="str">
        <f>$I$33&amp;"."&amp;$M$33&amp;"."&amp;$Q$33&amp;"."&amp;$U$33</f>
        <v>...</v>
      </c>
    </row>
    <row s="2853" customFormat="1" customHeight="1" ht="17.25">
      <c r="A34" s="314"/>
      <c r="C34" s="313"/>
      <c r="D34" s="1991"/>
      <c r="E34" s="1993"/>
      <c r="F34" s="1996"/>
      <c r="G34" s="1993"/>
      <c r="H34" s="1999"/>
      <c r="I34" s="2001"/>
      <c r="J34" s="2003"/>
      <c r="K34" s="1990"/>
      <c r="L34" s="1990"/>
      <c r="M34" s="1990"/>
      <c r="N34" s="2006"/>
      <c r="O34" s="1990"/>
      <c r="P34" s="1990"/>
      <c r="Q34" s="1990"/>
      <c r="R34" s="2007"/>
      <c r="S34" s="1990"/>
      <c r="T34" s="1327"/>
      <c r="U34" s="1327"/>
      <c r="V34" s="1327"/>
      <c r="W34" s="1328"/>
      <c r="X34" s="1288"/>
      <c r="Y34" s="1288"/>
      <c r="Z34" s="1288"/>
      <c r="AA34" s="1288"/>
      <c r="AB34" s="1288"/>
      <c r="AC34" s="1288"/>
      <c r="AD34" s="1288"/>
      <c r="AE34" s="1288"/>
      <c r="AF34" s="1288"/>
      <c r="AG34" s="1288"/>
      <c r="AH34" s="1288"/>
      <c r="AI34" s="1288"/>
      <c r="AJ34" s="1288"/>
      <c r="AK34" s="1288"/>
      <c r="AL34" s="1288"/>
      <c r="AM34" s="1288"/>
      <c r="AN34" s="1288"/>
      <c r="AO34" s="1288"/>
      <c r="AP34" s="1288"/>
      <c r="AQ34" s="1288"/>
    </row>
    <row s="2853" customFormat="1" customHeight="1" ht="17.25">
      <c r="A35" s="314"/>
      <c r="C35" s="313"/>
      <c r="D35" s="1992"/>
      <c r="E35" s="1994"/>
      <c r="F35" s="1996"/>
      <c r="G35" s="1994"/>
      <c r="H35" s="1999"/>
      <c r="I35" s="2001"/>
      <c r="J35" s="2004"/>
      <c r="K35" s="1990"/>
      <c r="L35" s="1990"/>
      <c r="M35" s="1990"/>
      <c r="N35" s="2007"/>
      <c r="O35" s="1990"/>
      <c r="P35" s="1448"/>
      <c r="Q35" s="1327"/>
      <c r="R35" s="1327"/>
      <c r="S35" s="325"/>
      <c r="T35" s="325"/>
      <c r="U35" s="325"/>
      <c r="V35" s="325"/>
      <c r="W35" s="1328"/>
      <c r="X35" s="1288"/>
      <c r="Y35" s="1288"/>
      <c r="Z35" s="1288"/>
      <c r="AA35" s="1288"/>
      <c r="AB35" s="1288"/>
      <c r="AC35" s="1288"/>
      <c r="AD35" s="1288"/>
      <c r="AE35" s="1288"/>
      <c r="AF35" s="1288"/>
      <c r="AG35" s="1288"/>
      <c r="AH35" s="1288"/>
      <c r="AI35" s="1288"/>
      <c r="AJ35" s="1288"/>
      <c r="AK35" s="1288"/>
      <c r="AL35" s="1288"/>
      <c r="AM35" s="1288"/>
      <c r="AN35" s="1288"/>
      <c r="AO35" s="1288"/>
      <c r="AP35" s="1288"/>
      <c r="AQ35" s="1288"/>
    </row>
    <row s="2853" customFormat="1" customHeight="1" ht="17.25">
      <c r="A36" s="314"/>
      <c r="C36" s="313"/>
      <c r="D36" s="1992"/>
      <c r="E36" s="1994"/>
      <c r="F36" s="1996"/>
      <c r="G36" s="1994"/>
      <c r="H36" s="1999"/>
      <c r="I36" s="2001"/>
      <c r="J36" s="2004"/>
      <c r="K36" s="1990"/>
      <c r="L36" s="1327"/>
      <c r="M36" s="1327"/>
      <c r="N36" s="1327"/>
      <c r="O36" s="1327"/>
      <c r="P36" s="1327"/>
      <c r="Q36" s="1327"/>
      <c r="R36" s="1327"/>
      <c r="S36" s="325"/>
      <c r="T36" s="325"/>
      <c r="U36" s="325"/>
      <c r="V36" s="325"/>
      <c r="W36" s="1328"/>
      <c r="X36" s="1288"/>
      <c r="Y36" s="1288"/>
      <c r="Z36" s="1288"/>
      <c r="AA36" s="1288"/>
      <c r="AB36" s="1288"/>
      <c r="AC36" s="1288"/>
      <c r="AD36" s="1288"/>
      <c r="AE36" s="1288"/>
      <c r="AF36" s="1288"/>
      <c r="AG36" s="1288"/>
      <c r="AH36" s="1288"/>
      <c r="AI36" s="1288"/>
      <c r="AJ36" s="1288"/>
      <c r="AK36" s="1288"/>
      <c r="AL36" s="1288"/>
      <c r="AM36" s="1288"/>
      <c r="AN36" s="1288"/>
      <c r="AO36" s="1288"/>
      <c r="AP36" s="1288"/>
      <c r="AQ36" s="1288"/>
    </row>
    <row s="2853" customFormat="1" customHeight="1" ht="17.25">
      <c r="A37" s="314"/>
      <c r="C37" s="313"/>
      <c r="D37" s="1992"/>
      <c r="E37" s="1994"/>
      <c r="F37" s="1997"/>
      <c r="G37" s="1994"/>
      <c r="H37" s="1329"/>
      <c r="I37" s="1330"/>
      <c r="J37" s="1330"/>
      <c r="K37" s="1330"/>
      <c r="L37" s="1330"/>
      <c r="M37" s="1330"/>
      <c r="N37" s="1330"/>
      <c r="O37" s="1330"/>
      <c r="P37" s="1330"/>
      <c r="Q37" s="1330"/>
      <c r="R37" s="1330"/>
      <c r="S37" s="1331"/>
      <c r="T37" s="1331"/>
      <c r="U37" s="1331"/>
      <c r="V37" s="1331"/>
      <c r="W37" s="1332"/>
      <c r="X37" s="1288"/>
      <c r="Y37" s="1288"/>
      <c r="Z37" s="1288"/>
      <c r="AA37" s="1288"/>
      <c r="AB37" s="1288"/>
      <c r="AC37" s="1288"/>
      <c r="AD37" s="1288"/>
      <c r="AE37" s="1288"/>
      <c r="AF37" s="1288"/>
      <c r="AG37" s="1288"/>
      <c r="AH37" s="1288"/>
      <c r="AI37" s="1288"/>
      <c r="AJ37" s="1288"/>
      <c r="AK37" s="1288"/>
      <c r="AL37" s="1288"/>
      <c r="AM37" s="1288"/>
      <c r="AN37" s="1288"/>
      <c r="AO37" s="1288"/>
      <c r="AP37" s="1288"/>
      <c r="AQ37" s="1288"/>
    </row>
    <row s="2853" customFormat="1" customHeight="1" ht="17.25">
      <c r="A38" s="314"/>
      <c r="C38" s="195"/>
      <c r="D38" s="1991">
        <v>6</v>
      </c>
      <c r="E38" s="1993" t="s">
        <v>189</v>
      </c>
      <c r="F38" s="1995" t="s">
        <v>56</v>
      </c>
      <c r="G38" s="1993"/>
      <c r="H38" s="1998"/>
      <c r="I38" s="2000"/>
      <c r="J38" s="2002"/>
      <c r="K38" s="1989"/>
      <c r="L38" s="1989"/>
      <c r="M38" s="1989"/>
      <c r="N38" s="2005"/>
      <c r="O38" s="1989"/>
      <c r="P38" s="1989"/>
      <c r="Q38" s="1989"/>
      <c r="R38" s="2008"/>
      <c r="S38" s="1989"/>
      <c r="T38" s="1450"/>
      <c r="U38" s="1450"/>
      <c r="V38" s="1449"/>
      <c r="W38" s="1326"/>
      <c r="X38" s="1296"/>
      <c r="Y38" s="1296"/>
      <c r="Z38" s="1296"/>
      <c r="AA38" s="1296"/>
      <c r="AB38" s="1296"/>
      <c r="AC38" s="1296" t="s">
        <v>190</v>
      </c>
      <c r="AD38" s="1296" t="s">
        <v>191</v>
      </c>
      <c r="AE38" s="1296" t="s">
        <v>192</v>
      </c>
      <c r="AF38" s="1296" t="s">
        <v>193</v>
      </c>
      <c r="AG38" s="1296" t="s">
        <v>194</v>
      </c>
      <c r="AH38" s="1296" t="str">
        <f>IF($E$38=0,"",$E$38)</f>
        <v>Тарифы на услуги по передаче теплоносителя</v>
      </c>
      <c r="AI38" s="1296" t="str">
        <f>IF($G$38=0,"",$G$38)</f>
        <v/>
      </c>
      <c r="AJ38" s="1296" t="str">
        <f>IF($J$38=0,"",$J$38)</f>
        <v/>
      </c>
      <c r="AK38" s="1296" t="str">
        <f>IF($K$38="нет","без дифференциации",IF($N$38=0,"",$N$38))</f>
        <v/>
      </c>
      <c r="AL38" s="1296" t="str">
        <f>IF($O$38="нет","без дифференциации",IF($R$38=0,"",$R$38))</f>
        <v/>
      </c>
      <c r="AM38" s="1296" t="str">
        <f>IF($S$38="нет","без дифференциации",IF($V$38=0,"",$V$38))</f>
        <v/>
      </c>
      <c r="AN38" s="1813">
        <f>$I$38</f>
        <v>0</v>
      </c>
      <c r="AO38" s="1296" t="str">
        <f>$I$38&amp;"."&amp;$M$38</f>
        <v>.</v>
      </c>
      <c r="AP38" s="1288" t="str">
        <f>$I$38&amp;"."&amp;$M$38&amp;"."&amp;$Q$38</f>
        <v>..</v>
      </c>
      <c r="AQ38" s="1288" t="str">
        <f>$I$38&amp;"."&amp;$M$38&amp;"."&amp;$Q$38&amp;"."&amp;$U$38</f>
        <v>...</v>
      </c>
    </row>
    <row s="2853" customFormat="1" customHeight="1" ht="17.25">
      <c r="A39" s="314"/>
      <c r="C39" s="313"/>
      <c r="D39" s="1991"/>
      <c r="E39" s="1993"/>
      <c r="F39" s="1996"/>
      <c r="G39" s="1993"/>
      <c r="H39" s="1999"/>
      <c r="I39" s="2001"/>
      <c r="J39" s="2003"/>
      <c r="K39" s="1990"/>
      <c r="L39" s="1990"/>
      <c r="M39" s="1990"/>
      <c r="N39" s="2006"/>
      <c r="O39" s="1990"/>
      <c r="P39" s="1990"/>
      <c r="Q39" s="1990"/>
      <c r="R39" s="2007"/>
      <c r="S39" s="1990"/>
      <c r="T39" s="1327"/>
      <c r="U39" s="1327"/>
      <c r="V39" s="1327"/>
      <c r="W39" s="1328"/>
      <c r="X39" s="1288"/>
      <c r="Y39" s="1288"/>
      <c r="Z39" s="1288"/>
      <c r="AA39" s="1288"/>
      <c r="AB39" s="1288"/>
      <c r="AC39" s="1288"/>
      <c r="AD39" s="1288"/>
      <c r="AE39" s="1288"/>
      <c r="AF39" s="1288"/>
      <c r="AG39" s="1288"/>
      <c r="AH39" s="1288"/>
      <c r="AI39" s="1288"/>
      <c r="AJ39" s="1288"/>
      <c r="AK39" s="1288"/>
      <c r="AL39" s="1288"/>
      <c r="AM39" s="1288"/>
      <c r="AN39" s="1288"/>
      <c r="AO39" s="1288"/>
      <c r="AP39" s="1288"/>
      <c r="AQ39" s="1288"/>
    </row>
    <row s="2853" customFormat="1" customHeight="1" ht="17.25">
      <c r="A40" s="314"/>
      <c r="C40" s="313"/>
      <c r="D40" s="1992"/>
      <c r="E40" s="1994"/>
      <c r="F40" s="1996"/>
      <c r="G40" s="1994"/>
      <c r="H40" s="1999"/>
      <c r="I40" s="2001"/>
      <c r="J40" s="2004"/>
      <c r="K40" s="1990"/>
      <c r="L40" s="1990"/>
      <c r="M40" s="1990"/>
      <c r="N40" s="2007"/>
      <c r="O40" s="1990"/>
      <c r="P40" s="1448"/>
      <c r="Q40" s="1327"/>
      <c r="R40" s="1327"/>
      <c r="S40" s="325"/>
      <c r="T40" s="325"/>
      <c r="U40" s="325"/>
      <c r="V40" s="325"/>
      <c r="W40" s="1328"/>
      <c r="X40" s="1288"/>
      <c r="Y40" s="1288"/>
      <c r="Z40" s="1288"/>
      <c r="AA40" s="1288"/>
      <c r="AB40" s="1288"/>
      <c r="AC40" s="1288"/>
      <c r="AD40" s="1288"/>
      <c r="AE40" s="1288"/>
      <c r="AF40" s="1288"/>
      <c r="AG40" s="1288"/>
      <c r="AH40" s="1288"/>
      <c r="AI40" s="1288"/>
      <c r="AJ40" s="1288"/>
      <c r="AK40" s="1288"/>
      <c r="AL40" s="1288"/>
      <c r="AM40" s="1288"/>
      <c r="AN40" s="1288"/>
      <c r="AO40" s="1288"/>
      <c r="AP40" s="1288"/>
      <c r="AQ40" s="1288"/>
    </row>
    <row s="2909" customFormat="1" customHeight="1" ht="17.25">
      <c r="A41" s="314"/>
      <c r="C41" s="195"/>
      <c r="D41" s="1992"/>
      <c r="E41" s="1994"/>
      <c r="F41" s="1996"/>
      <c r="G41" s="1994"/>
      <c r="H41" s="1999"/>
      <c r="I41" s="2001"/>
      <c r="J41" s="2004"/>
      <c r="K41" s="1990"/>
      <c r="L41" s="1327"/>
      <c r="M41" s="1327"/>
      <c r="N41" s="1327"/>
      <c r="O41" s="1327"/>
      <c r="P41" s="1327"/>
      <c r="Q41" s="1327"/>
      <c r="R41" s="1327"/>
      <c r="S41" s="325"/>
      <c r="T41" s="325"/>
      <c r="U41" s="325"/>
      <c r="V41" s="325"/>
      <c r="W41" s="1328"/>
      <c r="Y41" s="1296"/>
      <c r="Z41" s="1296"/>
      <c r="AA41" s="1296"/>
      <c r="AB41" s="1296"/>
      <c r="AC41" s="1296"/>
      <c r="AD41" s="1296"/>
      <c r="AE41" s="1296"/>
      <c r="AF41" s="1296"/>
      <c r="AG41" s="1296"/>
      <c r="AH41" s="1296"/>
      <c r="AI41" s="1296"/>
      <c r="AJ41" s="1296"/>
      <c r="AK41" s="1296"/>
      <c r="AL41" s="1296"/>
      <c r="AM41" s="1296"/>
      <c r="AN41" s="1296"/>
      <c r="AO41" s="1296"/>
      <c r="AP41" s="1296"/>
      <c r="AQ41" s="1296"/>
    </row>
    <row s="2853" customFormat="1" customHeight="1" ht="17.25">
      <c r="A42" s="314"/>
      <c r="C42" s="313"/>
      <c r="D42" s="1992"/>
      <c r="E42" s="1994"/>
      <c r="F42" s="1997"/>
      <c r="G42" s="1994"/>
      <c r="H42" s="1329"/>
      <c r="I42" s="1330"/>
      <c r="J42" s="1330"/>
      <c r="K42" s="1330"/>
      <c r="L42" s="1330"/>
      <c r="M42" s="1330"/>
      <c r="N42" s="1330"/>
      <c r="O42" s="1330"/>
      <c r="P42" s="1330"/>
      <c r="Q42" s="1330"/>
      <c r="R42" s="1330"/>
      <c r="S42" s="1331"/>
      <c r="T42" s="1331"/>
      <c r="U42" s="1331"/>
      <c r="V42" s="1331"/>
      <c r="W42" s="1332"/>
      <c r="X42" s="1288"/>
      <c r="Y42" s="1288"/>
      <c r="Z42" s="1288"/>
      <c r="AA42" s="1288"/>
      <c r="AB42" s="1288"/>
      <c r="AC42" s="1288"/>
      <c r="AD42" s="1288"/>
      <c r="AE42" s="1288"/>
      <c r="AF42" s="1288"/>
      <c r="AG42" s="1288"/>
      <c r="AH42" s="1288"/>
      <c r="AI42" s="1288"/>
      <c r="AJ42" s="1288"/>
      <c r="AK42" s="1288"/>
      <c r="AL42" s="1288"/>
      <c r="AM42" s="1288"/>
      <c r="AN42" s="1288"/>
      <c r="AO42" s="1288"/>
      <c r="AP42" s="1288"/>
      <c r="AQ42" s="1288"/>
    </row>
    <row s="2910" customFormat="1" customHeight="1" ht="17.25">
      <c r="A43" s="314"/>
      <c r="C43" s="195"/>
      <c r="D43" s="2012">
        <v>7</v>
      </c>
      <c r="E43" s="2015" t="s">
        <v>195</v>
      </c>
      <c r="F43" s="1995" t="s">
        <v>56</v>
      </c>
      <c r="G43" s="2015"/>
      <c r="H43" s="1998"/>
      <c r="I43" s="2000"/>
      <c r="J43" s="2002"/>
      <c r="K43" s="1989"/>
      <c r="L43" s="1989"/>
      <c r="M43" s="1989"/>
      <c r="N43" s="2005"/>
      <c r="O43" s="1989"/>
      <c r="P43" s="1989"/>
      <c r="Q43" s="1989"/>
      <c r="R43" s="2008"/>
      <c r="S43" s="1989"/>
      <c r="T43" s="1450"/>
      <c r="U43" s="1450"/>
      <c r="V43" s="1449"/>
      <c r="W43" s="1326"/>
      <c r="X43" s="1296"/>
      <c r="Y43" s="1296"/>
      <c r="Z43" s="1296"/>
      <c r="AA43" s="1296"/>
      <c r="AB43" s="1296"/>
      <c r="AC43" s="1296" t="s">
        <v>196</v>
      </c>
      <c r="AD43" s="1296" t="s">
        <v>197</v>
      </c>
      <c r="AE43" s="1296" t="s">
        <v>198</v>
      </c>
      <c r="AF43" s="1296" t="s">
        <v>199</v>
      </c>
      <c r="AG43" s="1296" t="s">
        <v>200</v>
      </c>
      <c r="AH43" s="1296" t="str">
        <f>IF($E$43=0,"",$E$43)</f>
        <v>Плата за услуги по поддержанию резервной тепловой мощности при отсутствии потребления тепловой энергии</v>
      </c>
      <c r="AI43" s="1296" t="str">
        <f>IF($G$43=0,"",$G$43)</f>
        <v/>
      </c>
      <c r="AJ43" s="1296" t="str">
        <f>IF($J$43=0,"",$J$43)</f>
        <v/>
      </c>
      <c r="AK43" s="1296" t="str">
        <f>IF($K$43="нет","без дифференциации",IF($N$43=0,"",$N$43))</f>
        <v/>
      </c>
      <c r="AL43" s="1296" t="str">
        <f>IF($O$43="нет","без дифференциации",IF($R$43=0,"",$R$43))</f>
        <v/>
      </c>
      <c r="AM43" s="1296" t="str">
        <f>IF($S$43="нет","без дифференциации",IF($V$43=0,"",$V$43))</f>
        <v/>
      </c>
      <c r="AN43" s="1813">
        <f>$I$43</f>
        <v>0</v>
      </c>
      <c r="AO43" s="1296" t="str">
        <f>$I$43&amp;"."&amp;$M$43</f>
        <v>.</v>
      </c>
      <c r="AP43" s="1288" t="str">
        <f>$I$43&amp;"."&amp;$M$43&amp;"."&amp;$Q$43</f>
        <v>..</v>
      </c>
      <c r="AQ43" s="1288" t="str">
        <f>$I$43&amp;"."&amp;$M$43&amp;"."&amp;$Q$43&amp;"."&amp;$U$43</f>
        <v>...</v>
      </c>
    </row>
    <row s="2910" customFormat="1" customHeight="1" ht="17.25">
      <c r="A44" s="314"/>
      <c r="C44" s="313"/>
      <c r="D44" s="2013"/>
      <c r="E44" s="2016"/>
      <c r="F44" s="1996"/>
      <c r="G44" s="2016"/>
      <c r="H44" s="1999"/>
      <c r="I44" s="2001"/>
      <c r="J44" s="2003"/>
      <c r="K44" s="1990"/>
      <c r="L44" s="1990"/>
      <c r="M44" s="1990"/>
      <c r="N44" s="2006"/>
      <c r="O44" s="1990"/>
      <c r="P44" s="1990"/>
      <c r="Q44" s="1990"/>
      <c r="R44" s="2007"/>
      <c r="S44" s="1990"/>
      <c r="T44" s="1327"/>
      <c r="U44" s="1327"/>
      <c r="V44" s="1327"/>
      <c r="W44" s="1328"/>
      <c r="X44" s="1288"/>
      <c r="Y44" s="1288"/>
      <c r="Z44" s="1288"/>
      <c r="AA44" s="1288"/>
      <c r="AB44" s="1288"/>
      <c r="AC44" s="1288"/>
      <c r="AD44" s="1288"/>
      <c r="AE44" s="1288"/>
      <c r="AF44" s="1288"/>
      <c r="AG44" s="1288"/>
      <c r="AH44" s="1288"/>
      <c r="AI44" s="1288"/>
      <c r="AJ44" s="1288"/>
      <c r="AK44" s="1288"/>
      <c r="AL44" s="1288"/>
      <c r="AM44" s="1288"/>
      <c r="AN44" s="1288"/>
      <c r="AO44" s="1288"/>
      <c r="AP44" s="1288"/>
      <c r="AQ44" s="1288"/>
    </row>
    <row s="2910" customFormat="1" customHeight="1" ht="17.25">
      <c r="A45" s="314"/>
      <c r="C45" s="313"/>
      <c r="D45" s="2013"/>
      <c r="E45" s="2016"/>
      <c r="F45" s="1996"/>
      <c r="G45" s="2016"/>
      <c r="H45" s="1999"/>
      <c r="I45" s="2001"/>
      <c r="J45" s="2004"/>
      <c r="K45" s="1990"/>
      <c r="L45" s="1990"/>
      <c r="M45" s="1990"/>
      <c r="N45" s="2007"/>
      <c r="O45" s="1990"/>
      <c r="P45" s="1448"/>
      <c r="Q45" s="1327"/>
      <c r="R45" s="1327"/>
      <c r="S45" s="325"/>
      <c r="T45" s="325"/>
      <c r="U45" s="325"/>
      <c r="V45" s="325"/>
      <c r="W45" s="1328"/>
      <c r="X45" s="1288"/>
      <c r="Y45" s="1288"/>
      <c r="Z45" s="1288"/>
      <c r="AA45" s="1288"/>
      <c r="AB45" s="1288"/>
      <c r="AC45" s="1288"/>
      <c r="AD45" s="1288"/>
      <c r="AE45" s="1288"/>
      <c r="AF45" s="1288"/>
      <c r="AG45" s="1288"/>
      <c r="AH45" s="1288"/>
      <c r="AI45" s="1288"/>
      <c r="AJ45" s="1288"/>
      <c r="AK45" s="1288"/>
      <c r="AL45" s="1288"/>
      <c r="AM45" s="1288"/>
      <c r="AN45" s="1288"/>
      <c r="AO45" s="1288"/>
      <c r="AP45" s="1288"/>
      <c r="AQ45" s="1288"/>
    </row>
    <row s="2909" customFormat="1" customHeight="1" ht="17.25">
      <c r="A46" s="314"/>
      <c r="C46" s="195"/>
      <c r="D46" s="2013"/>
      <c r="E46" s="2016"/>
      <c r="F46" s="1996"/>
      <c r="G46" s="2016"/>
      <c r="H46" s="1999"/>
      <c r="I46" s="2001"/>
      <c r="J46" s="2004"/>
      <c r="K46" s="1990"/>
      <c r="L46" s="1327"/>
      <c r="M46" s="1327"/>
      <c r="N46" s="1327"/>
      <c r="O46" s="1327"/>
      <c r="P46" s="1327"/>
      <c r="Q46" s="1327"/>
      <c r="R46" s="1327"/>
      <c r="S46" s="325"/>
      <c r="T46" s="325"/>
      <c r="U46" s="325"/>
      <c r="V46" s="325"/>
      <c r="W46" s="1328"/>
      <c r="Y46" s="1296"/>
      <c r="Z46" s="1296"/>
      <c r="AA46" s="1296"/>
      <c r="AB46" s="1296"/>
      <c r="AC46" s="1296"/>
      <c r="AD46" s="1296"/>
      <c r="AE46" s="1296"/>
      <c r="AF46" s="1296"/>
      <c r="AG46" s="1296"/>
      <c r="AH46" s="1296"/>
      <c r="AI46" s="1296"/>
      <c r="AJ46" s="1296"/>
      <c r="AK46" s="1296"/>
      <c r="AL46" s="1296"/>
      <c r="AM46" s="1296"/>
      <c r="AN46" s="1296"/>
      <c r="AO46" s="1296"/>
      <c r="AP46" s="1296"/>
      <c r="AQ46" s="1296"/>
    </row>
    <row s="2910" customFormat="1" customHeight="1" ht="17.25">
      <c r="A47" s="314"/>
      <c r="C47" s="313"/>
      <c r="D47" s="2014"/>
      <c r="E47" s="2017"/>
      <c r="F47" s="1997"/>
      <c r="G47" s="2017"/>
      <c r="H47" s="1329"/>
      <c r="I47" s="1330"/>
      <c r="J47" s="1330"/>
      <c r="K47" s="1330"/>
      <c r="L47" s="1330"/>
      <c r="M47" s="1330"/>
      <c r="N47" s="1330"/>
      <c r="O47" s="1330"/>
      <c r="P47" s="1330"/>
      <c r="Q47" s="1330"/>
      <c r="R47" s="1330"/>
      <c r="S47" s="1331"/>
      <c r="T47" s="1331"/>
      <c r="U47" s="1331"/>
      <c r="V47" s="1331"/>
      <c r="W47" s="1332"/>
      <c r="X47" s="1288"/>
      <c r="Y47" s="1288"/>
      <c r="Z47" s="1288"/>
      <c r="AA47" s="1288"/>
      <c r="AB47" s="1288"/>
      <c r="AC47" s="1288"/>
      <c r="AD47" s="1288"/>
      <c r="AE47" s="1288"/>
      <c r="AF47" s="1288"/>
      <c r="AG47" s="1288"/>
      <c r="AH47" s="1288"/>
      <c r="AI47" s="1288"/>
      <c r="AJ47" s="1288"/>
      <c r="AK47" s="1288"/>
      <c r="AL47" s="1288"/>
      <c r="AM47" s="1288"/>
      <c r="AN47" s="1288"/>
      <c r="AO47" s="1288"/>
      <c r="AP47" s="1288"/>
      <c r="AQ47" s="1288"/>
    </row>
    <row s="2910" customFormat="1" customHeight="1" ht="17.25">
      <c r="A48" s="314"/>
      <c r="C48" s="195"/>
      <c r="D48" s="1991">
        <v>8</v>
      </c>
      <c r="E48" s="1993" t="s">
        <v>201</v>
      </c>
      <c r="F48" s="1995" t="s">
        <v>56</v>
      </c>
      <c r="G48" s="1993"/>
      <c r="H48" s="1998"/>
      <c r="I48" s="2000"/>
      <c r="J48" s="2002"/>
      <c r="K48" s="1989"/>
      <c r="L48" s="1989"/>
      <c r="M48" s="1989"/>
      <c r="N48" s="2005"/>
      <c r="O48" s="1989"/>
      <c r="P48" s="1989"/>
      <c r="Q48" s="1989"/>
      <c r="R48" s="2008"/>
      <c r="S48" s="1989"/>
      <c r="T48" s="1500"/>
      <c r="U48" s="1500"/>
      <c r="V48" s="1502"/>
      <c r="W48" s="1326"/>
      <c r="X48" s="1296"/>
      <c r="Y48" s="1296"/>
      <c r="Z48" s="1296"/>
      <c r="AA48" s="1296"/>
      <c r="AB48" s="1296"/>
      <c r="AC48" s="1296" t="s">
        <v>202</v>
      </c>
      <c r="AD48" s="1296" t="s">
        <v>203</v>
      </c>
      <c r="AE48" s="1296" t="s">
        <v>204</v>
      </c>
      <c r="AF48" s="1296" t="s">
        <v>205</v>
      </c>
      <c r="AG48" s="1296" t="s">
        <v>206</v>
      </c>
      <c r="AH48" s="1296" t="str">
        <f>IF($E$48=0,"",$E$48)</f>
        <v>Плата за подключение (технологическое присоединение) к системе теплоснабжения</v>
      </c>
      <c r="AI48" s="1296" t="str">
        <f>IF($G$48=0,"",$G$48)</f>
        <v/>
      </c>
      <c r="AJ48" s="1296" t="str">
        <f>IF($J$48=0,"",$J$48)</f>
        <v/>
      </c>
      <c r="AK48" s="1296" t="str">
        <f>IF($K$48="нет","без дифференциации",IF($N$48=0,"",$N$48))</f>
        <v/>
      </c>
      <c r="AL48" s="1296" t="str">
        <f>IF($O$48="нет","без дифференциации",IF($R$48=0,"",$R$48))</f>
        <v/>
      </c>
      <c r="AM48" s="1296" t="str">
        <f>IF($S$48="нет","без дифференциации",IF($V$48=0,"",$V$48))</f>
        <v/>
      </c>
      <c r="AN48" s="1813">
        <f>$I$48</f>
        <v>0</v>
      </c>
      <c r="AO48" s="1296" t="str">
        <f>$I$48&amp;"."&amp;$M$48</f>
        <v>.</v>
      </c>
      <c r="AP48" s="1288" t="str">
        <f>$I$48&amp;"."&amp;$M$48&amp;"."&amp;$Q$48</f>
        <v>..</v>
      </c>
      <c r="AQ48" s="1288" t="str">
        <f>$I$48&amp;"."&amp;$M$48&amp;"."&amp;$Q$48&amp;"."&amp;$U$48</f>
        <v>...</v>
      </c>
    </row>
    <row s="2910" customFormat="1" customHeight="1" ht="17.25">
      <c r="A49" s="314"/>
      <c r="C49" s="313"/>
      <c r="D49" s="1991"/>
      <c r="E49" s="1993"/>
      <c r="F49" s="1996"/>
      <c r="G49" s="1993"/>
      <c r="H49" s="1999"/>
      <c r="I49" s="2001"/>
      <c r="J49" s="2003"/>
      <c r="K49" s="1990"/>
      <c r="L49" s="1990"/>
      <c r="M49" s="1990"/>
      <c r="N49" s="2006"/>
      <c r="O49" s="1990"/>
      <c r="P49" s="1990"/>
      <c r="Q49" s="1990"/>
      <c r="R49" s="2007"/>
      <c r="S49" s="1990"/>
      <c r="T49" s="1327"/>
      <c r="U49" s="1327"/>
      <c r="V49" s="1327"/>
      <c r="W49" s="1328"/>
      <c r="X49" s="1288"/>
      <c r="Y49" s="1288"/>
      <c r="Z49" s="1288"/>
      <c r="AA49" s="1288"/>
      <c r="AB49" s="1288"/>
      <c r="AC49" s="1288"/>
      <c r="AD49" s="1288"/>
      <c r="AE49" s="1288"/>
      <c r="AF49" s="1288"/>
      <c r="AG49" s="1288"/>
      <c r="AH49" s="1288"/>
      <c r="AI49" s="1288"/>
      <c r="AJ49" s="1288"/>
      <c r="AK49" s="1288"/>
      <c r="AL49" s="1288"/>
      <c r="AM49" s="1288"/>
      <c r="AN49" s="1288"/>
      <c r="AO49" s="1288"/>
      <c r="AP49" s="1288"/>
      <c r="AQ49" s="1288"/>
    </row>
    <row s="2910" customFormat="1" customHeight="1" ht="17.25">
      <c r="A50" s="314"/>
      <c r="C50" s="313"/>
      <c r="D50" s="1992"/>
      <c r="E50" s="1994"/>
      <c r="F50" s="1996"/>
      <c r="G50" s="1994"/>
      <c r="H50" s="1999"/>
      <c r="I50" s="2001"/>
      <c r="J50" s="2004"/>
      <c r="K50" s="1990"/>
      <c r="L50" s="1990"/>
      <c r="M50" s="1990"/>
      <c r="N50" s="2007"/>
      <c r="O50" s="1990"/>
      <c r="P50" s="1501"/>
      <c r="Q50" s="1327"/>
      <c r="R50" s="1327"/>
      <c r="S50" s="325"/>
      <c r="T50" s="325"/>
      <c r="U50" s="325"/>
      <c r="V50" s="325"/>
      <c r="W50" s="1328"/>
      <c r="X50" s="1288"/>
      <c r="Y50" s="1288"/>
      <c r="Z50" s="1288"/>
      <c r="AA50" s="1288"/>
      <c r="AB50" s="1288"/>
      <c r="AC50" s="1288"/>
      <c r="AD50" s="1288"/>
      <c r="AE50" s="1288"/>
      <c r="AF50" s="1288"/>
      <c r="AG50" s="1288"/>
      <c r="AH50" s="1288"/>
      <c r="AI50" s="1288"/>
      <c r="AJ50" s="1288"/>
      <c r="AK50" s="1288"/>
      <c r="AL50" s="1288"/>
      <c r="AM50" s="1288"/>
      <c r="AN50" s="1288"/>
      <c r="AO50" s="1288"/>
      <c r="AP50" s="1288"/>
      <c r="AQ50" s="1288"/>
    </row>
    <row s="2909" customFormat="1" customHeight="1" ht="17.25">
      <c r="A51" s="314"/>
      <c r="C51" s="195"/>
      <c r="D51" s="1992"/>
      <c r="E51" s="1994"/>
      <c r="F51" s="1996"/>
      <c r="G51" s="1994"/>
      <c r="H51" s="1999"/>
      <c r="I51" s="2001"/>
      <c r="J51" s="2004"/>
      <c r="K51" s="1990"/>
      <c r="L51" s="1327"/>
      <c r="M51" s="1327"/>
      <c r="N51" s="1327"/>
      <c r="O51" s="1327"/>
      <c r="P51" s="1327"/>
      <c r="Q51" s="1327"/>
      <c r="R51" s="1327"/>
      <c r="S51" s="325"/>
      <c r="T51" s="325"/>
      <c r="U51" s="325"/>
      <c r="V51" s="325"/>
      <c r="W51" s="1328"/>
      <c r="Y51" s="1296"/>
      <c r="Z51" s="1296"/>
      <c r="AA51" s="1296"/>
      <c r="AB51" s="1296"/>
      <c r="AC51" s="1296"/>
      <c r="AD51" s="1296"/>
      <c r="AE51" s="1296"/>
      <c r="AF51" s="1296"/>
      <c r="AG51" s="1296"/>
      <c r="AH51" s="1296"/>
      <c r="AI51" s="1296"/>
      <c r="AJ51" s="1296"/>
      <c r="AK51" s="1296"/>
      <c r="AL51" s="1296"/>
      <c r="AM51" s="1296"/>
      <c r="AN51" s="1296"/>
      <c r="AO51" s="1296"/>
      <c r="AP51" s="1296"/>
      <c r="AQ51" s="1296"/>
    </row>
    <row s="2910" customFormat="1" customHeight="1" ht="17.25">
      <c r="A52" s="314"/>
      <c r="C52" s="313"/>
      <c r="D52" s="1992"/>
      <c r="E52" s="1994"/>
      <c r="F52" s="1997"/>
      <c r="G52" s="1994"/>
      <c r="H52" s="1329"/>
      <c r="I52" s="1330"/>
      <c r="J52" s="1330"/>
      <c r="K52" s="1330"/>
      <c r="L52" s="1330"/>
      <c r="M52" s="1330"/>
      <c r="N52" s="1330"/>
      <c r="O52" s="1330"/>
      <c r="P52" s="1330"/>
      <c r="Q52" s="1330"/>
      <c r="R52" s="1330"/>
      <c r="S52" s="1331"/>
      <c r="T52" s="1331"/>
      <c r="U52" s="1331"/>
      <c r="V52" s="1331"/>
      <c r="W52" s="1332"/>
      <c r="X52" s="1288"/>
      <c r="Y52" s="1288"/>
      <c r="Z52" s="1288"/>
      <c r="AA52" s="1288"/>
      <c r="AB52" s="1288"/>
      <c r="AC52" s="1288"/>
      <c r="AD52" s="1288"/>
      <c r="AE52" s="1288"/>
      <c r="AF52" s="1288"/>
      <c r="AG52" s="1288"/>
      <c r="AH52" s="1288"/>
      <c r="AI52" s="1288"/>
      <c r="AJ52" s="1288"/>
      <c r="AK52" s="1288"/>
      <c r="AL52" s="1288"/>
      <c r="AM52" s="1288"/>
      <c r="AN52" s="1288"/>
      <c r="AO52" s="1288"/>
      <c r="AP52" s="1288"/>
      <c r="AQ52" s="1288"/>
    </row>
    <row customHeight="1" ht="11.25"/>
    <row customHeight="1" ht="11.25">
      <c r="E54" s="2011" t="s">
        <v>207</v>
      </c>
      <c r="F54" s="2011"/>
      <c r="G54" s="2011"/>
      <c r="H54" s="2011"/>
      <c r="I54" s="2011"/>
      <c r="J54" s="2011"/>
      <c r="K54" s="2011"/>
      <c r="L54" s="2011"/>
      <c r="M54" s="2011"/>
      <c r="N54" s="2011"/>
      <c r="O54" s="2011"/>
      <c r="P54" s="2011"/>
      <c r="Q54" s="2011"/>
      <c r="R54" s="2011"/>
      <c r="S54" s="2011"/>
      <c r="T54" s="2011"/>
      <c r="U54" s="2011"/>
      <c r="V54" s="2011"/>
      <c r="W54" s="2011"/>
    </row>
    <row customHeight="1" ht="36.75">
      <c r="E55" s="2009" t="s">
        <v>208</v>
      </c>
      <c r="F55" s="2009"/>
      <c r="G55" s="2010"/>
      <c r="H55" s="2010"/>
      <c r="I55" s="2010"/>
      <c r="J55" s="2010"/>
      <c r="K55" s="2010"/>
      <c r="L55" s="2010"/>
      <c r="M55" s="2010"/>
      <c r="N55" s="2010"/>
      <c r="O55" s="2010"/>
      <c r="P55" s="2010"/>
      <c r="Q55" s="2010"/>
      <c r="R55" s="2010"/>
      <c r="S55" s="2010"/>
      <c r="T55" s="2010"/>
      <c r="U55" s="2010"/>
      <c r="V55" s="2010"/>
      <c r="W55" s="2010"/>
    </row>
    <row customHeight="1" ht="28.5">
      <c r="E56" s="2009" t="s">
        <v>209</v>
      </c>
      <c r="F56" s="2009"/>
      <c r="G56" s="2010"/>
      <c r="H56" s="2010"/>
      <c r="I56" s="2010"/>
      <c r="J56" s="2010"/>
      <c r="K56" s="2010"/>
      <c r="L56" s="2010"/>
      <c r="M56" s="2010"/>
      <c r="N56" s="2010"/>
      <c r="O56" s="2010"/>
      <c r="P56" s="2010"/>
      <c r="Q56" s="2010"/>
      <c r="R56" s="2010"/>
      <c r="S56" s="2010"/>
      <c r="T56" s="2010"/>
      <c r="U56" s="2010"/>
      <c r="V56" s="2010"/>
      <c r="W56" s="2010"/>
    </row>
    <row customHeight="1" ht="27">
      <c r="E57" s="2009" t="s">
        <v>210</v>
      </c>
      <c r="F57" s="2009"/>
      <c r="G57" s="2010"/>
      <c r="H57" s="2010"/>
      <c r="I57" s="2010"/>
      <c r="J57" s="2010"/>
      <c r="K57" s="2010"/>
      <c r="L57" s="2010"/>
      <c r="M57" s="2010"/>
      <c r="N57" s="2010"/>
      <c r="O57" s="2010"/>
      <c r="P57" s="2010"/>
      <c r="Q57" s="2010"/>
      <c r="R57" s="2010"/>
      <c r="S57" s="2010"/>
      <c r="T57" s="2010"/>
      <c r="U57" s="2010"/>
      <c r="V57" s="2010"/>
      <c r="W57" s="2010"/>
    </row>
    <row customHeight="1" ht="17.25">
      <c r="E58" s="2009" t="s">
        <v>211</v>
      </c>
      <c r="F58" s="2009"/>
      <c r="G58" s="2010"/>
      <c r="H58" s="2010"/>
      <c r="I58" s="2010"/>
      <c r="J58" s="2010"/>
      <c r="K58" s="2010"/>
      <c r="L58" s="2010"/>
      <c r="M58" s="2010"/>
      <c r="N58" s="2010"/>
      <c r="O58" s="2010"/>
      <c r="P58" s="2010"/>
      <c r="Q58" s="2010"/>
      <c r="R58" s="2010"/>
      <c r="S58" s="2010"/>
      <c r="T58" s="2010"/>
      <c r="U58" s="2010"/>
      <c r="V58" s="2010"/>
      <c r="W58" s="2010"/>
    </row>
    <row customHeight="1" ht="15">
      <c r="E59" s="336"/>
      <c r="F59" s="1315"/>
      <c r="G59" s="143"/>
      <c r="H59" s="143"/>
      <c r="I59" s="143"/>
      <c r="J59" s="143"/>
      <c r="K59" s="143"/>
      <c r="L59" s="143"/>
      <c r="M59" s="143"/>
      <c r="N59" s="143"/>
      <c r="O59" s="143"/>
      <c r="P59" s="143"/>
      <c r="Q59" s="143"/>
      <c r="R59" s="143"/>
      <c r="S59" s="143"/>
      <c r="T59" s="143"/>
      <c r="U59" s="143"/>
      <c r="V59" s="143"/>
      <c r="W59" s="143"/>
    </row>
    <row customHeight="1" ht="15">
      <c r="E60" s="2011" t="s">
        <v>212</v>
      </c>
      <c r="F60" s="2011"/>
      <c r="G60" s="2011"/>
      <c r="H60" s="2011"/>
      <c r="I60" s="2011"/>
      <c r="J60" s="2011"/>
      <c r="K60" s="2011"/>
      <c r="L60" s="2011"/>
      <c r="M60" s="2011"/>
      <c r="N60" s="2011"/>
      <c r="O60" s="2011"/>
      <c r="P60" s="2011"/>
      <c r="Q60" s="2011"/>
      <c r="R60" s="2011"/>
      <c r="S60" s="2011"/>
      <c r="T60" s="2011"/>
      <c r="U60" s="2011"/>
      <c r="V60" s="2011"/>
      <c r="W60" s="2011"/>
    </row>
    <row customHeight="1" ht="17.25">
      <c r="E61" s="2009" t="s">
        <v>213</v>
      </c>
      <c r="F61" s="2009"/>
      <c r="G61" s="2010"/>
      <c r="H61" s="2010"/>
      <c r="I61" s="2010"/>
      <c r="J61" s="2010"/>
      <c r="K61" s="2010"/>
      <c r="L61" s="2010"/>
      <c r="M61" s="2010"/>
      <c r="N61" s="2010"/>
      <c r="O61" s="2010"/>
      <c r="P61" s="2010"/>
      <c r="Q61" s="2010"/>
      <c r="R61" s="2010"/>
      <c r="S61" s="2010"/>
      <c r="T61" s="2010"/>
      <c r="U61" s="2010"/>
      <c r="V61" s="2010"/>
      <c r="W61" s="2010"/>
    </row>
    <row customHeight="1" ht="17.25">
      <c r="E62" s="2009" t="s">
        <v>214</v>
      </c>
      <c r="F62" s="2009"/>
      <c r="G62" s="2010"/>
      <c r="H62" s="2010"/>
      <c r="I62" s="2010"/>
      <c r="J62" s="2010"/>
      <c r="K62" s="2010"/>
      <c r="L62" s="2010"/>
      <c r="M62" s="2010"/>
      <c r="N62" s="2010"/>
      <c r="O62" s="2010"/>
      <c r="P62" s="2010"/>
      <c r="Q62" s="2010"/>
      <c r="R62" s="2010"/>
      <c r="S62" s="2010"/>
      <c r="T62" s="2010"/>
      <c r="U62" s="2010"/>
      <c r="V62" s="2010"/>
      <c r="W62" s="2010"/>
    </row>
    <row s="2926" customFormat="1" customHeight="1" ht="11.25" hidden="1">
      <c r="A63" s="263"/>
      <c r="B63" s="263"/>
      <c r="Y63" s="1288"/>
      <c r="Z63" s="1288"/>
      <c r="AA63" s="1288"/>
      <c r="AB63" s="1288"/>
      <c r="AC63" s="1288"/>
      <c r="AD63" s="1288"/>
      <c r="AE63" s="1288"/>
      <c r="AF63" s="1288"/>
      <c r="AG63" s="1288"/>
      <c r="AH63" s="1288"/>
      <c r="AI63" s="1288"/>
      <c r="AJ63" s="1288"/>
      <c r="AK63" s="1288"/>
      <c r="AL63" s="1288"/>
      <c r="AM63" s="1288"/>
      <c r="AN63" s="1288"/>
      <c r="AO63" s="1288"/>
      <c r="AP63" s="1288"/>
      <c r="AQ63" s="1288"/>
    </row>
    <row s="2926" customFormat="1" customHeight="1" ht="17.25" hidden="1">
      <c r="A64" s="314"/>
      <c r="C64" s="195"/>
      <c r="D64" s="1991">
        <v>1</v>
      </c>
      <c r="E64" s="1993" t="s">
        <v>215</v>
      </c>
      <c r="F64" s="1995" t="s">
        <v>56</v>
      </c>
      <c r="G64" s="1993"/>
      <c r="H64" s="1998"/>
      <c r="I64" s="2000"/>
      <c r="J64" s="2002"/>
      <c r="K64" s="1989"/>
      <c r="L64" s="1989"/>
      <c r="M64" s="1989"/>
      <c r="N64" s="2005"/>
      <c r="O64" s="1989"/>
      <c r="P64" s="1989"/>
      <c r="Q64" s="1989"/>
      <c r="R64" s="2008"/>
      <c r="S64" s="1989"/>
      <c r="T64" s="1500"/>
      <c r="U64" s="1500"/>
      <c r="V64" s="1502"/>
      <c r="W64" s="1326"/>
      <c r="Y64" s="1296"/>
      <c r="Z64" s="1296"/>
      <c r="AA64" s="1296"/>
      <c r="AB64" s="1296"/>
      <c r="AC64" s="1296" t="s">
        <v>216</v>
      </c>
      <c r="AD64" s="1296" t="s">
        <v>217</v>
      </c>
      <c r="AE64" s="1296" t="s">
        <v>218</v>
      </c>
      <c r="AF64" s="1296" t="s">
        <v>219</v>
      </c>
      <c r="AG64" s="1296"/>
      <c r="AH64" s="1296" t="str">
        <f>IF($E$64=0,"",$E$64)</f>
        <v>Тариф на питьевую воду (питьевое водоснабжение)</v>
      </c>
      <c r="AI64" s="1296" t="str">
        <f>IF($G$64=0,"",$G$64)</f>
        <v/>
      </c>
      <c r="AJ64" s="1296" t="str">
        <f>IF($J$64=0,"",$J$64)</f>
        <v/>
      </c>
      <c r="AK64" s="1296" t="str">
        <f>IF($K$64="нет","без дифференциации",IF($N$64=0,"",$N$64))</f>
        <v/>
      </c>
      <c r="AL64" s="1296" t="str">
        <f>IF($O$64="нет","без дифференциации",IF($R$64=0,"",$R$64))</f>
        <v/>
      </c>
      <c r="AM64" s="1296" t="str">
        <f>IF($S$64="нет","без дифференциации",IF($V$64=0,"",$V$64))</f>
        <v/>
      </c>
      <c r="AN64" s="1296">
        <f>$I$64</f>
        <v>0</v>
      </c>
      <c r="AO64" s="1296" t="str">
        <f>$I$64&amp;"."&amp;$M$64</f>
        <v>.</v>
      </c>
      <c r="AP64" s="1296" t="str">
        <f>$I$64&amp;"."&amp;$M$64&amp;"."&amp;$Q$64</f>
        <v>..</v>
      </c>
      <c r="AQ64" s="1296" t="str">
        <f>$I$64&amp;"."&amp;$M$64&amp;"."&amp;$Q$64&amp;"."&amp;$U$64</f>
        <v>...</v>
      </c>
    </row>
    <row s="2926" customFormat="1" customHeight="1" ht="17.25" hidden="1">
      <c r="A65" s="314"/>
      <c r="C65" s="313"/>
      <c r="D65" s="1991"/>
      <c r="E65" s="1993"/>
      <c r="F65" s="1996"/>
      <c r="G65" s="1993"/>
      <c r="H65" s="1999"/>
      <c r="I65" s="2001"/>
      <c r="J65" s="2003"/>
      <c r="K65" s="1990"/>
      <c r="L65" s="1990"/>
      <c r="M65" s="1990"/>
      <c r="N65" s="2006"/>
      <c r="O65" s="1990"/>
      <c r="P65" s="1990"/>
      <c r="Q65" s="1990"/>
      <c r="R65" s="2007"/>
      <c r="S65" s="1990"/>
      <c r="T65" s="1327"/>
      <c r="U65" s="1327"/>
      <c r="V65" s="1327"/>
      <c r="W65" s="1328"/>
      <c r="Y65" s="1288"/>
      <c r="Z65" s="1288"/>
      <c r="AA65" s="1288"/>
      <c r="AB65" s="1288"/>
      <c r="AC65" s="1288"/>
      <c r="AD65" s="1288"/>
      <c r="AE65" s="1288"/>
      <c r="AF65" s="1288"/>
      <c r="AG65" s="1288"/>
      <c r="AH65" s="1288"/>
      <c r="AI65" s="1288"/>
      <c r="AJ65" s="1288"/>
      <c r="AK65" s="1288"/>
      <c r="AL65" s="1288"/>
      <c r="AM65" s="1288"/>
      <c r="AN65" s="1288"/>
      <c r="AO65" s="1288"/>
      <c r="AP65" s="1288"/>
      <c r="AQ65" s="1288"/>
    </row>
    <row s="2927" customFormat="1" customHeight="1" ht="17.25" hidden="1">
      <c r="A66" s="314"/>
      <c r="C66" s="195"/>
      <c r="D66" s="1991"/>
      <c r="E66" s="1993"/>
      <c r="F66" s="1996"/>
      <c r="G66" s="1993"/>
      <c r="H66" s="1999"/>
      <c r="I66" s="2001"/>
      <c r="J66" s="2004"/>
      <c r="K66" s="1990"/>
      <c r="L66" s="1990"/>
      <c r="M66" s="1990"/>
      <c r="N66" s="2007"/>
      <c r="O66" s="1990"/>
      <c r="P66" s="1501"/>
      <c r="Q66" s="1327"/>
      <c r="R66" s="1327"/>
      <c r="S66" s="325"/>
      <c r="T66" s="325"/>
      <c r="U66" s="325"/>
      <c r="V66" s="325"/>
      <c r="W66" s="1328"/>
      <c r="Y66" s="1296"/>
      <c r="Z66" s="1296"/>
      <c r="AA66" s="1296"/>
      <c r="AB66" s="1296"/>
      <c r="AC66" s="1296"/>
      <c r="AD66" s="1296"/>
      <c r="AE66" s="1296"/>
      <c r="AF66" s="1296"/>
      <c r="AG66" s="1296"/>
      <c r="AH66" s="1296"/>
      <c r="AI66" s="1296"/>
      <c r="AJ66" s="1296"/>
      <c r="AK66" s="1296"/>
      <c r="AL66" s="1296"/>
      <c r="AM66" s="1296"/>
      <c r="AN66" s="1296"/>
      <c r="AO66" s="1296"/>
      <c r="AP66" s="1296"/>
      <c r="AQ66" s="1296"/>
    </row>
    <row s="2927" customFormat="1" customHeight="1" ht="17.25" hidden="1">
      <c r="A67" s="314"/>
      <c r="C67" s="313"/>
      <c r="D67" s="1991"/>
      <c r="E67" s="1993"/>
      <c r="F67" s="1996"/>
      <c r="G67" s="1993"/>
      <c r="H67" s="1999"/>
      <c r="I67" s="2001"/>
      <c r="J67" s="2004"/>
      <c r="K67" s="1990"/>
      <c r="L67" s="1327"/>
      <c r="M67" s="1327"/>
      <c r="N67" s="1327"/>
      <c r="O67" s="1327"/>
      <c r="P67" s="1327"/>
      <c r="Q67" s="1327"/>
      <c r="R67" s="1327"/>
      <c r="S67" s="325"/>
      <c r="T67" s="325"/>
      <c r="U67" s="325"/>
      <c r="V67" s="325"/>
      <c r="W67" s="1328"/>
      <c r="Y67" s="1288"/>
      <c r="Z67" s="1288"/>
      <c r="AA67" s="1288"/>
      <c r="AB67" s="1288"/>
      <c r="AC67" s="1288"/>
      <c r="AD67" s="1288"/>
      <c r="AE67" s="1288"/>
      <c r="AF67" s="1288"/>
      <c r="AG67" s="1288"/>
      <c r="AH67" s="1288"/>
      <c r="AI67" s="1288"/>
      <c r="AJ67" s="1288"/>
      <c r="AK67" s="1288"/>
      <c r="AL67" s="1288"/>
      <c r="AM67" s="1288"/>
      <c r="AN67" s="1288"/>
      <c r="AO67" s="1288"/>
      <c r="AP67" s="1288"/>
      <c r="AQ67" s="1288"/>
    </row>
    <row s="2926" customFormat="1" customHeight="1" ht="17.25" hidden="1">
      <c r="A68" s="314"/>
      <c r="C68" s="313"/>
      <c r="D68" s="1992"/>
      <c r="E68" s="1994"/>
      <c r="F68" s="1997"/>
      <c r="G68" s="1994"/>
      <c r="H68" s="1329"/>
      <c r="I68" s="1330"/>
      <c r="J68" s="1330"/>
      <c r="K68" s="1330"/>
      <c r="L68" s="1330"/>
      <c r="M68" s="1330"/>
      <c r="N68" s="1330"/>
      <c r="O68" s="1330"/>
      <c r="P68" s="1330"/>
      <c r="Q68" s="1330"/>
      <c r="R68" s="1330"/>
      <c r="S68" s="1331"/>
      <c r="T68" s="1331"/>
      <c r="U68" s="1331"/>
      <c r="V68" s="1331"/>
      <c r="W68" s="1332"/>
      <c r="Y68" s="1288"/>
      <c r="Z68" s="1288"/>
      <c r="AA68" s="1288"/>
      <c r="AB68" s="1288"/>
      <c r="AC68" s="1288"/>
      <c r="AD68" s="1288"/>
      <c r="AE68" s="1288"/>
      <c r="AF68" s="1288"/>
      <c r="AG68" s="1288"/>
      <c r="AH68" s="1288"/>
      <c r="AI68" s="1288"/>
      <c r="AJ68" s="1288"/>
      <c r="AK68" s="1288"/>
      <c r="AL68" s="1288"/>
      <c r="AM68" s="1288"/>
      <c r="AN68" s="1288"/>
      <c r="AO68" s="1288"/>
      <c r="AP68" s="1288"/>
      <c r="AQ68" s="1288"/>
    </row>
    <row s="2926" customFormat="1" customHeight="1" ht="17.25" hidden="1">
      <c r="A69" s="314"/>
      <c r="C69" s="195"/>
      <c r="D69" s="1991">
        <v>2</v>
      </c>
      <c r="E69" s="1993" t="s">
        <v>220</v>
      </c>
      <c r="F69" s="1995" t="s">
        <v>56</v>
      </c>
      <c r="G69" s="1993"/>
      <c r="H69" s="1998"/>
      <c r="I69" s="2000"/>
      <c r="J69" s="2002"/>
      <c r="K69" s="1989"/>
      <c r="L69" s="1989"/>
      <c r="M69" s="1989"/>
      <c r="N69" s="2005"/>
      <c r="O69" s="1989"/>
      <c r="P69" s="1989"/>
      <c r="Q69" s="1989"/>
      <c r="R69" s="2008"/>
      <c r="S69" s="1989"/>
      <c r="T69" s="1473"/>
      <c r="U69" s="1473"/>
      <c r="V69" s="1475"/>
      <c r="W69" s="1326"/>
      <c r="X69" s="1296"/>
      <c r="Y69" s="1296"/>
      <c r="Z69" s="1296"/>
      <c r="AA69" s="1296"/>
      <c r="AB69" s="1296"/>
      <c r="AC69" s="1296" t="s">
        <v>221</v>
      </c>
      <c r="AD69" s="1296" t="s">
        <v>222</v>
      </c>
      <c r="AE69" s="1296" t="s">
        <v>223</v>
      </c>
      <c r="AF69" s="1296" t="s">
        <v>224</v>
      </c>
      <c r="AG69" s="1296"/>
      <c r="AH69" s="1296" t="str">
        <f>IF($E$69=0,"",$E$69)</f>
        <v>Тариф на техническую воду</v>
      </c>
      <c r="AI69" s="1296" t="str">
        <f>IF($G$69=0,"",$G$69)</f>
        <v/>
      </c>
      <c r="AJ69" s="1296" t="str">
        <f>IF($J$69=0,"",$J$69)</f>
        <v/>
      </c>
      <c r="AK69" s="1296" t="str">
        <f>IF($K$69="нет","без дифференциации",IF($N$69=0,"",$N$69))</f>
        <v/>
      </c>
      <c r="AL69" s="1296" t="str">
        <f>IF($O$69="нет","без дифференциации",IF($R$69=0,"",$R$69))</f>
        <v/>
      </c>
      <c r="AM69" s="1296" t="str">
        <f>IF($S$69="нет","без дифференциации",IF($V$69=0,"",$V$69))</f>
        <v/>
      </c>
      <c r="AN69" s="1813">
        <f>$I$69</f>
        <v>0</v>
      </c>
      <c r="AO69" s="1296" t="str">
        <f>$I$69&amp;"."&amp;$M$69</f>
        <v>.</v>
      </c>
      <c r="AP69" s="1288" t="str">
        <f>$I$69&amp;"."&amp;$M$69&amp;"."&amp;$Q$69</f>
        <v>..</v>
      </c>
      <c r="AQ69" s="1288" t="str">
        <f>$I$69&amp;"."&amp;$M$69&amp;"."&amp;$Q$69&amp;"."&amp;$U$69</f>
        <v>...</v>
      </c>
    </row>
    <row s="2926" customFormat="1" customHeight="1" ht="17.25" hidden="1">
      <c r="A70" s="314"/>
      <c r="C70" s="313"/>
      <c r="D70" s="1991"/>
      <c r="E70" s="1993"/>
      <c r="F70" s="1996"/>
      <c r="G70" s="1993"/>
      <c r="H70" s="1999"/>
      <c r="I70" s="2001"/>
      <c r="J70" s="2003"/>
      <c r="K70" s="1990"/>
      <c r="L70" s="1990"/>
      <c r="M70" s="1990"/>
      <c r="N70" s="2006"/>
      <c r="O70" s="1990"/>
      <c r="P70" s="1990"/>
      <c r="Q70" s="1990"/>
      <c r="R70" s="2007"/>
      <c r="S70" s="1990"/>
      <c r="T70" s="1327"/>
      <c r="U70" s="1327"/>
      <c r="V70" s="1327"/>
      <c r="W70" s="1328"/>
      <c r="X70" s="1288"/>
      <c r="Y70" s="1288"/>
      <c r="Z70" s="1288"/>
      <c r="AA70" s="1288"/>
      <c r="AB70" s="1288"/>
      <c r="AC70" s="1288"/>
      <c r="AD70" s="1288"/>
      <c r="AE70" s="1288"/>
      <c r="AF70" s="1288"/>
      <c r="AG70" s="1288"/>
      <c r="AH70" s="1288"/>
      <c r="AI70" s="1288"/>
      <c r="AJ70" s="1288"/>
      <c r="AK70" s="1288"/>
      <c r="AL70" s="1288"/>
      <c r="AM70" s="1288"/>
      <c r="AN70" s="1288"/>
      <c r="AO70" s="1288"/>
      <c r="AP70" s="1288"/>
      <c r="AQ70" s="1288"/>
    </row>
    <row s="2926" customFormat="1" customHeight="1" ht="17.25" hidden="1">
      <c r="A71" s="314"/>
      <c r="C71" s="313"/>
      <c r="D71" s="1992"/>
      <c r="E71" s="1994"/>
      <c r="F71" s="1996"/>
      <c r="G71" s="1994"/>
      <c r="H71" s="1999"/>
      <c r="I71" s="2001"/>
      <c r="J71" s="2004"/>
      <c r="K71" s="1990"/>
      <c r="L71" s="1990"/>
      <c r="M71" s="1990"/>
      <c r="N71" s="2007"/>
      <c r="O71" s="1990"/>
      <c r="P71" s="1474"/>
      <c r="Q71" s="1327"/>
      <c r="R71" s="1327"/>
      <c r="S71" s="325"/>
      <c r="T71" s="325"/>
      <c r="U71" s="325"/>
      <c r="V71" s="325"/>
      <c r="W71" s="1328"/>
      <c r="X71" s="1288"/>
      <c r="Y71" s="1288"/>
      <c r="Z71" s="1288"/>
      <c r="AA71" s="1288"/>
      <c r="AB71" s="1288"/>
      <c r="AC71" s="1288"/>
      <c r="AD71" s="1288"/>
      <c r="AE71" s="1288"/>
      <c r="AF71" s="1288"/>
      <c r="AG71" s="1288"/>
      <c r="AH71" s="1288"/>
      <c r="AI71" s="1288"/>
      <c r="AJ71" s="1288"/>
      <c r="AK71" s="1288"/>
      <c r="AL71" s="1288"/>
      <c r="AM71" s="1288"/>
      <c r="AN71" s="1288"/>
      <c r="AO71" s="1288"/>
      <c r="AP71" s="1288"/>
      <c r="AQ71" s="1288"/>
    </row>
    <row s="2926" customFormat="1" customHeight="1" ht="17.25" hidden="1">
      <c r="A72" s="314"/>
      <c r="C72" s="313"/>
      <c r="D72" s="1992"/>
      <c r="E72" s="1994"/>
      <c r="F72" s="1996"/>
      <c r="G72" s="1994"/>
      <c r="H72" s="1999"/>
      <c r="I72" s="2001"/>
      <c r="J72" s="2004"/>
      <c r="K72" s="1990"/>
      <c r="L72" s="1327"/>
      <c r="M72" s="1327"/>
      <c r="N72" s="1327"/>
      <c r="O72" s="1327"/>
      <c r="P72" s="1327"/>
      <c r="Q72" s="1327"/>
      <c r="R72" s="1327"/>
      <c r="S72" s="325"/>
      <c r="T72" s="325"/>
      <c r="U72" s="325"/>
      <c r="V72" s="325"/>
      <c r="W72" s="1328"/>
      <c r="X72" s="1288"/>
      <c r="Y72" s="1288"/>
      <c r="Z72" s="1288"/>
      <c r="AA72" s="1288"/>
      <c r="AB72" s="1288"/>
      <c r="AC72" s="1288"/>
      <c r="AD72" s="1288"/>
      <c r="AE72" s="1288"/>
      <c r="AF72" s="1288"/>
      <c r="AG72" s="1288"/>
      <c r="AH72" s="1288"/>
      <c r="AI72" s="1288"/>
      <c r="AJ72" s="1288"/>
      <c r="AK72" s="1288"/>
      <c r="AL72" s="1288"/>
      <c r="AM72" s="1288"/>
      <c r="AN72" s="1288"/>
      <c r="AO72" s="1288"/>
      <c r="AP72" s="1288"/>
      <c r="AQ72" s="1288"/>
    </row>
    <row s="2926" customFormat="1" customHeight="1" ht="17.25" hidden="1">
      <c r="A73" s="314"/>
      <c r="C73" s="313"/>
      <c r="D73" s="1992"/>
      <c r="E73" s="1994"/>
      <c r="F73" s="1997"/>
      <c r="G73" s="1994"/>
      <c r="H73" s="1329"/>
      <c r="I73" s="1330"/>
      <c r="J73" s="1330"/>
      <c r="K73" s="1330"/>
      <c r="L73" s="1330"/>
      <c r="M73" s="1330"/>
      <c r="N73" s="1330"/>
      <c r="O73" s="1330"/>
      <c r="P73" s="1330"/>
      <c r="Q73" s="1330"/>
      <c r="R73" s="1330"/>
      <c r="S73" s="1331"/>
      <c r="T73" s="1331"/>
      <c r="U73" s="1331"/>
      <c r="V73" s="1331"/>
      <c r="W73" s="1332"/>
      <c r="X73" s="1288"/>
      <c r="Y73" s="1288"/>
      <c r="Z73" s="1288"/>
      <c r="AA73" s="1288"/>
      <c r="AB73" s="1288"/>
      <c r="AC73" s="1288"/>
      <c r="AD73" s="1288"/>
      <c r="AE73" s="1288"/>
      <c r="AF73" s="1288"/>
      <c r="AG73" s="1288"/>
      <c r="AH73" s="1288"/>
      <c r="AI73" s="1288"/>
      <c r="AJ73" s="1288"/>
      <c r="AK73" s="1288"/>
      <c r="AL73" s="1288"/>
      <c r="AM73" s="1288"/>
      <c r="AN73" s="1288"/>
      <c r="AO73" s="1288"/>
      <c r="AP73" s="1288"/>
      <c r="AQ73" s="1288"/>
    </row>
    <row s="2926" customFormat="1" customHeight="1" ht="17.25" hidden="1">
      <c r="A74" s="314"/>
      <c r="C74" s="195"/>
      <c r="D74" s="1991">
        <v>3</v>
      </c>
      <c r="E74" s="1993" t="s">
        <v>225</v>
      </c>
      <c r="F74" s="1995" t="s">
        <v>56</v>
      </c>
      <c r="G74" s="1993"/>
      <c r="H74" s="1998"/>
      <c r="I74" s="2000"/>
      <c r="J74" s="2002"/>
      <c r="K74" s="1989"/>
      <c r="L74" s="1989"/>
      <c r="M74" s="1989"/>
      <c r="N74" s="2005"/>
      <c r="O74" s="1989"/>
      <c r="P74" s="1989"/>
      <c r="Q74" s="1989"/>
      <c r="R74" s="2008"/>
      <c r="S74" s="1989"/>
      <c r="T74" s="1473"/>
      <c r="U74" s="1473"/>
      <c r="V74" s="1475"/>
      <c r="W74" s="1326"/>
      <c r="X74" s="1296"/>
      <c r="Y74" s="1296"/>
      <c r="Z74" s="1296"/>
      <c r="AA74" s="1296"/>
      <c r="AB74" s="1296"/>
      <c r="AC74" s="1296" t="s">
        <v>226</v>
      </c>
      <c r="AD74" s="1296" t="s">
        <v>227</v>
      </c>
      <c r="AE74" s="1296" t="s">
        <v>228</v>
      </c>
      <c r="AF74" s="1296" t="s">
        <v>229</v>
      </c>
      <c r="AG74" s="1296"/>
      <c r="AH74" s="1296" t="str">
        <f>IF($E$74=0,"",$E$74)</f>
        <v>Тариф на транспортировку воды</v>
      </c>
      <c r="AI74" s="1296" t="str">
        <f>IF($G$74=0,"",$G$74)</f>
        <v/>
      </c>
      <c r="AJ74" s="1296" t="str">
        <f>IF($J$74=0,"",$J$74)</f>
        <v/>
      </c>
      <c r="AK74" s="1296" t="str">
        <f>IF($K$74="нет","без дифференциации",IF($N$74=0,"",$N$74))</f>
        <v/>
      </c>
      <c r="AL74" s="1296" t="str">
        <f>IF($O$74="нет","без дифференциации",IF($R$74=0,"",$R$74))</f>
        <v/>
      </c>
      <c r="AM74" s="1296" t="str">
        <f>IF($S$74="нет","без дифференциации",IF($V$74=0,"",$V$74))</f>
        <v/>
      </c>
      <c r="AN74" s="1813">
        <f>$I$74</f>
        <v>0</v>
      </c>
      <c r="AO74" s="1296" t="str">
        <f>$I$74&amp;"."&amp;$M$74</f>
        <v>.</v>
      </c>
      <c r="AP74" s="1288" t="str">
        <f>$I$74&amp;"."&amp;$M$74&amp;"."&amp;$Q$74</f>
        <v>..</v>
      </c>
      <c r="AQ74" s="1288" t="str">
        <f>$I$74&amp;"."&amp;$M$74&amp;"."&amp;$Q$74&amp;"."&amp;$U$74</f>
        <v>...</v>
      </c>
    </row>
    <row s="2926" customFormat="1" customHeight="1" ht="17.25" hidden="1">
      <c r="A75" s="314"/>
      <c r="C75" s="313"/>
      <c r="D75" s="1991"/>
      <c r="E75" s="1993"/>
      <c r="F75" s="1996"/>
      <c r="G75" s="1993"/>
      <c r="H75" s="1999"/>
      <c r="I75" s="2001"/>
      <c r="J75" s="2003"/>
      <c r="K75" s="1990"/>
      <c r="L75" s="1990"/>
      <c r="M75" s="1990"/>
      <c r="N75" s="2006"/>
      <c r="O75" s="1990"/>
      <c r="P75" s="1990"/>
      <c r="Q75" s="1990"/>
      <c r="R75" s="2007"/>
      <c r="S75" s="1990"/>
      <c r="T75" s="1327"/>
      <c r="U75" s="1327"/>
      <c r="V75" s="1327"/>
      <c r="W75" s="1328"/>
      <c r="X75" s="1288"/>
      <c r="Y75" s="1288"/>
      <c r="Z75" s="1288"/>
      <c r="AA75" s="1288"/>
      <c r="AB75" s="1288"/>
      <c r="AC75" s="1288"/>
      <c r="AD75" s="1288"/>
      <c r="AE75" s="1288"/>
      <c r="AF75" s="1288"/>
      <c r="AG75" s="1288"/>
      <c r="AH75" s="1288"/>
      <c r="AI75" s="1288"/>
      <c r="AJ75" s="1288"/>
      <c r="AK75" s="1288"/>
      <c r="AL75" s="1288"/>
      <c r="AM75" s="1288"/>
      <c r="AN75" s="1288"/>
      <c r="AO75" s="1288"/>
      <c r="AP75" s="1288"/>
      <c r="AQ75" s="1288"/>
    </row>
    <row s="2926" customFormat="1" customHeight="1" ht="17.25" hidden="1">
      <c r="A76" s="314"/>
      <c r="C76" s="313"/>
      <c r="D76" s="1992"/>
      <c r="E76" s="1994"/>
      <c r="F76" s="1996"/>
      <c r="G76" s="1994"/>
      <c r="H76" s="1999"/>
      <c r="I76" s="2001"/>
      <c r="J76" s="2004"/>
      <c r="K76" s="1990"/>
      <c r="L76" s="1990"/>
      <c r="M76" s="1990"/>
      <c r="N76" s="2007"/>
      <c r="O76" s="1990"/>
      <c r="P76" s="1474"/>
      <c r="Q76" s="1327"/>
      <c r="R76" s="1327"/>
      <c r="S76" s="325"/>
      <c r="T76" s="325"/>
      <c r="U76" s="325"/>
      <c r="V76" s="325"/>
      <c r="W76" s="1328"/>
      <c r="X76" s="1288"/>
      <c r="Y76" s="1288"/>
      <c r="Z76" s="1288"/>
      <c r="AA76" s="1288"/>
      <c r="AB76" s="1288"/>
      <c r="AC76" s="1288"/>
      <c r="AD76" s="1288"/>
      <c r="AE76" s="1288"/>
      <c r="AF76" s="1288"/>
      <c r="AG76" s="1288"/>
      <c r="AH76" s="1288"/>
      <c r="AI76" s="1288"/>
      <c r="AJ76" s="1288"/>
      <c r="AK76" s="1288"/>
      <c r="AL76" s="1288"/>
      <c r="AM76" s="1288"/>
      <c r="AN76" s="1288"/>
      <c r="AO76" s="1288"/>
      <c r="AP76" s="1288"/>
      <c r="AQ76" s="1288"/>
    </row>
    <row s="2926" customFormat="1" customHeight="1" ht="17.25" hidden="1">
      <c r="A77" s="314"/>
      <c r="C77" s="313"/>
      <c r="D77" s="1992"/>
      <c r="E77" s="1994"/>
      <c r="F77" s="1996"/>
      <c r="G77" s="1994"/>
      <c r="H77" s="1999"/>
      <c r="I77" s="2001"/>
      <c r="J77" s="2004"/>
      <c r="K77" s="1990"/>
      <c r="L77" s="1327"/>
      <c r="M77" s="1327"/>
      <c r="N77" s="1327"/>
      <c r="O77" s="1327"/>
      <c r="P77" s="1327"/>
      <c r="Q77" s="1327"/>
      <c r="R77" s="1327"/>
      <c r="S77" s="325"/>
      <c r="T77" s="325"/>
      <c r="U77" s="325"/>
      <c r="V77" s="325"/>
      <c r="W77" s="1328"/>
      <c r="X77" s="1288"/>
      <c r="Y77" s="1288"/>
      <c r="Z77" s="1288"/>
      <c r="AA77" s="1288"/>
      <c r="AB77" s="1288"/>
      <c r="AC77" s="1288"/>
      <c r="AD77" s="1288"/>
      <c r="AE77" s="1288"/>
      <c r="AF77" s="1288"/>
      <c r="AG77" s="1288"/>
      <c r="AH77" s="1288"/>
      <c r="AI77" s="1288"/>
      <c r="AJ77" s="1288"/>
      <c r="AK77" s="1288"/>
      <c r="AL77" s="1288"/>
      <c r="AM77" s="1288"/>
      <c r="AN77" s="1288"/>
      <c r="AO77" s="1288"/>
      <c r="AP77" s="1288"/>
      <c r="AQ77" s="1288"/>
    </row>
    <row s="2926" customFormat="1" customHeight="1" ht="17.25" hidden="1">
      <c r="A78" s="314"/>
      <c r="C78" s="313"/>
      <c r="D78" s="1992"/>
      <c r="E78" s="1994"/>
      <c r="F78" s="1997"/>
      <c r="G78" s="1994"/>
      <c r="H78" s="1329"/>
      <c r="I78" s="1330"/>
      <c r="J78" s="1330"/>
      <c r="K78" s="1330"/>
      <c r="L78" s="1330"/>
      <c r="M78" s="1330"/>
      <c r="N78" s="1330"/>
      <c r="O78" s="1330"/>
      <c r="P78" s="1330"/>
      <c r="Q78" s="1330"/>
      <c r="R78" s="1330"/>
      <c r="S78" s="1331"/>
      <c r="T78" s="1331"/>
      <c r="U78" s="1331"/>
      <c r="V78" s="1331"/>
      <c r="W78" s="1332"/>
      <c r="X78" s="1288"/>
      <c r="Y78" s="1288"/>
      <c r="Z78" s="1288"/>
      <c r="AA78" s="1288"/>
      <c r="AB78" s="1288"/>
      <c r="AC78" s="1288"/>
      <c r="AD78" s="1288"/>
      <c r="AE78" s="1288"/>
      <c r="AF78" s="1288"/>
      <c r="AG78" s="1288"/>
      <c r="AH78" s="1288"/>
      <c r="AI78" s="1288"/>
      <c r="AJ78" s="1288"/>
      <c r="AK78" s="1288"/>
      <c r="AL78" s="1288"/>
      <c r="AM78" s="1288"/>
      <c r="AN78" s="1288"/>
      <c r="AO78" s="1288"/>
      <c r="AP78" s="1288"/>
      <c r="AQ78" s="1288"/>
    </row>
    <row s="2926" customFormat="1" customHeight="1" ht="17.25" hidden="1">
      <c r="A79" s="314"/>
      <c r="C79" s="195"/>
      <c r="D79" s="1991">
        <v>4</v>
      </c>
      <c r="E79" s="1993" t="s">
        <v>230</v>
      </c>
      <c r="F79" s="1995" t="s">
        <v>56</v>
      </c>
      <c r="G79" s="1993"/>
      <c r="H79" s="1998"/>
      <c r="I79" s="2000"/>
      <c r="J79" s="2002"/>
      <c r="K79" s="1989"/>
      <c r="L79" s="1989"/>
      <c r="M79" s="1989"/>
      <c r="N79" s="2005"/>
      <c r="O79" s="1989"/>
      <c r="P79" s="1989"/>
      <c r="Q79" s="1989"/>
      <c r="R79" s="2008"/>
      <c r="S79" s="1989"/>
      <c r="T79" s="1473"/>
      <c r="U79" s="1473"/>
      <c r="V79" s="1475"/>
      <c r="W79" s="1326"/>
      <c r="X79" s="1296"/>
      <c r="Y79" s="1296"/>
      <c r="Z79" s="1296"/>
      <c r="AA79" s="1296"/>
      <c r="AB79" s="1296"/>
      <c r="AC79" s="1296" t="s">
        <v>231</v>
      </c>
      <c r="AD79" s="1296" t="s">
        <v>232</v>
      </c>
      <c r="AE79" s="1296" t="s">
        <v>233</v>
      </c>
      <c r="AF79" s="1296" t="s">
        <v>234</v>
      </c>
      <c r="AG79" s="1296"/>
      <c r="AH79" s="1296" t="str">
        <f>IF($E$79=0,"",$E$79)</f>
        <v>Тариф на подвоз воды</v>
      </c>
      <c r="AI79" s="1296" t="str">
        <f>IF($G$79=0,"",$G$79)</f>
        <v/>
      </c>
      <c r="AJ79" s="1296" t="str">
        <f>IF($J$79=0,"",$J$79)</f>
        <v/>
      </c>
      <c r="AK79" s="1296" t="str">
        <f>IF($K$79="нет","без дифференциации",IF($N$79=0,"",$N$79))</f>
        <v/>
      </c>
      <c r="AL79" s="1296" t="str">
        <f>IF($O$79="нет","без дифференциации",IF($R$79=0,"",$R$79))</f>
        <v/>
      </c>
      <c r="AM79" s="1296" t="str">
        <f>IF($S$79="нет","без дифференциации",IF($V$79=0,"",$V$79))</f>
        <v/>
      </c>
      <c r="AN79" s="1813">
        <f>$I$79</f>
        <v>0</v>
      </c>
      <c r="AO79" s="1296" t="str">
        <f>$I$79&amp;"."&amp;$M$79</f>
        <v>.</v>
      </c>
      <c r="AP79" s="1288" t="str">
        <f>$I$79&amp;"."&amp;$M$79&amp;"."&amp;$Q$79</f>
        <v>..</v>
      </c>
      <c r="AQ79" s="1288" t="str">
        <f>$I$79&amp;"."&amp;$M$79&amp;"."&amp;$Q$79&amp;"."&amp;$U$79</f>
        <v>...</v>
      </c>
    </row>
    <row s="2926" customFormat="1" customHeight="1" ht="17.25" hidden="1">
      <c r="A80" s="314"/>
      <c r="C80" s="313"/>
      <c r="D80" s="1991"/>
      <c r="E80" s="1993"/>
      <c r="F80" s="1996"/>
      <c r="G80" s="1993"/>
      <c r="H80" s="1999"/>
      <c r="I80" s="2001"/>
      <c r="J80" s="2003"/>
      <c r="K80" s="1990"/>
      <c r="L80" s="1990"/>
      <c r="M80" s="1990"/>
      <c r="N80" s="2006"/>
      <c r="O80" s="1990"/>
      <c r="P80" s="1990"/>
      <c r="Q80" s="1990"/>
      <c r="R80" s="2007"/>
      <c r="S80" s="1990"/>
      <c r="T80" s="1327"/>
      <c r="U80" s="1327"/>
      <c r="V80" s="1327"/>
      <c r="W80" s="1328"/>
      <c r="X80" s="1288"/>
      <c r="Y80" s="1288"/>
      <c r="Z80" s="1288"/>
      <c r="AA80" s="1288"/>
      <c r="AB80" s="1288"/>
      <c r="AC80" s="1288"/>
      <c r="AD80" s="1288"/>
      <c r="AE80" s="1288"/>
      <c r="AF80" s="1288"/>
      <c r="AG80" s="1288"/>
      <c r="AH80" s="1288"/>
      <c r="AI80" s="1288"/>
      <c r="AJ80" s="1288"/>
      <c r="AK80" s="1288"/>
      <c r="AL80" s="1288"/>
      <c r="AM80" s="1288"/>
      <c r="AN80" s="1288"/>
      <c r="AO80" s="1288"/>
      <c r="AP80" s="1288"/>
      <c r="AQ80" s="1288"/>
    </row>
    <row s="2926" customFormat="1" customHeight="1" ht="17.25" hidden="1">
      <c r="A81" s="314"/>
      <c r="C81" s="313"/>
      <c r="D81" s="1992"/>
      <c r="E81" s="1994"/>
      <c r="F81" s="1996"/>
      <c r="G81" s="1994"/>
      <c r="H81" s="1999"/>
      <c r="I81" s="2001"/>
      <c r="J81" s="2004"/>
      <c r="K81" s="1990"/>
      <c r="L81" s="1990"/>
      <c r="M81" s="1990"/>
      <c r="N81" s="2007"/>
      <c r="O81" s="1990"/>
      <c r="P81" s="1474"/>
      <c r="Q81" s="1327"/>
      <c r="R81" s="1327"/>
      <c r="S81" s="325"/>
      <c r="T81" s="325"/>
      <c r="U81" s="325"/>
      <c r="V81" s="325"/>
      <c r="W81" s="1328"/>
      <c r="X81" s="1288"/>
      <c r="Y81" s="1288"/>
      <c r="Z81" s="1288"/>
      <c r="AA81" s="1288"/>
      <c r="AB81" s="1288"/>
      <c r="AC81" s="1288"/>
      <c r="AD81" s="1288"/>
      <c r="AE81" s="1288"/>
      <c r="AF81" s="1288"/>
      <c r="AG81" s="1288"/>
      <c r="AH81" s="1288"/>
      <c r="AI81" s="1288"/>
      <c r="AJ81" s="1288"/>
      <c r="AK81" s="1288"/>
      <c r="AL81" s="1288"/>
      <c r="AM81" s="1288"/>
      <c r="AN81" s="1288"/>
      <c r="AO81" s="1288"/>
      <c r="AP81" s="1288"/>
      <c r="AQ81" s="1288"/>
    </row>
    <row s="2926" customFormat="1" customHeight="1" ht="17.25" hidden="1">
      <c r="A82" s="314"/>
      <c r="C82" s="313"/>
      <c r="D82" s="1992"/>
      <c r="E82" s="1994"/>
      <c r="F82" s="1996"/>
      <c r="G82" s="1994"/>
      <c r="H82" s="1999"/>
      <c r="I82" s="2001"/>
      <c r="J82" s="2004"/>
      <c r="K82" s="1990"/>
      <c r="L82" s="1327"/>
      <c r="M82" s="1327"/>
      <c r="N82" s="1327"/>
      <c r="O82" s="1327"/>
      <c r="P82" s="1327"/>
      <c r="Q82" s="1327"/>
      <c r="R82" s="1327"/>
      <c r="S82" s="325"/>
      <c r="T82" s="325"/>
      <c r="U82" s="325"/>
      <c r="V82" s="325"/>
      <c r="W82" s="1328"/>
      <c r="X82" s="1288"/>
      <c r="Y82" s="1288"/>
      <c r="Z82" s="1288"/>
      <c r="AA82" s="1288"/>
      <c r="AB82" s="1288"/>
      <c r="AC82" s="1288"/>
      <c r="AD82" s="1288"/>
      <c r="AE82" s="1288"/>
      <c r="AF82" s="1288"/>
      <c r="AG82" s="1288"/>
      <c r="AH82" s="1288"/>
      <c r="AI82" s="1288"/>
      <c r="AJ82" s="1288"/>
      <c r="AK82" s="1288"/>
      <c r="AL82" s="1288"/>
      <c r="AM82" s="1288"/>
      <c r="AN82" s="1288"/>
      <c r="AO82" s="1288"/>
      <c r="AP82" s="1288"/>
      <c r="AQ82" s="1288"/>
    </row>
    <row s="2926" customFormat="1" customHeight="1" ht="17.25" hidden="1">
      <c r="A83" s="314"/>
      <c r="C83" s="313"/>
      <c r="D83" s="1992"/>
      <c r="E83" s="1994"/>
      <c r="F83" s="1997"/>
      <c r="G83" s="1994"/>
      <c r="H83" s="1329"/>
      <c r="I83" s="1330"/>
      <c r="J83" s="1330"/>
      <c r="K83" s="1330"/>
      <c r="L83" s="1330"/>
      <c r="M83" s="1330"/>
      <c r="N83" s="1330"/>
      <c r="O83" s="1330"/>
      <c r="P83" s="1330"/>
      <c r="Q83" s="1330"/>
      <c r="R83" s="1330"/>
      <c r="S83" s="1331"/>
      <c r="T83" s="1331"/>
      <c r="U83" s="1331"/>
      <c r="V83" s="1331"/>
      <c r="W83" s="1332"/>
      <c r="X83" s="1288"/>
      <c r="Y83" s="1288"/>
      <c r="Z83" s="1288"/>
      <c r="AA83" s="1288"/>
      <c r="AB83" s="1288"/>
      <c r="AC83" s="1288"/>
      <c r="AD83" s="1288"/>
      <c r="AE83" s="1288"/>
      <c r="AF83" s="1288"/>
      <c r="AG83" s="1288"/>
      <c r="AH83" s="1288"/>
      <c r="AI83" s="1288"/>
      <c r="AJ83" s="1288"/>
      <c r="AK83" s="1288"/>
      <c r="AL83" s="1288"/>
      <c r="AM83" s="1288"/>
      <c r="AN83" s="1288"/>
      <c r="AO83" s="1288"/>
      <c r="AP83" s="1288"/>
      <c r="AQ83" s="1288"/>
    </row>
    <row s="2926" customFormat="1" customHeight="1" ht="17.25" hidden="1">
      <c r="A84" s="314"/>
      <c r="C84" s="195"/>
      <c r="D84" s="1991">
        <v>5</v>
      </c>
      <c r="E84" s="1993" t="s">
        <v>235</v>
      </c>
      <c r="F84" s="1995" t="s">
        <v>56</v>
      </c>
      <c r="G84" s="1993"/>
      <c r="H84" s="1998"/>
      <c r="I84" s="2000"/>
      <c r="J84" s="2002"/>
      <c r="K84" s="1989"/>
      <c r="L84" s="1989"/>
      <c r="M84" s="1989"/>
      <c r="N84" s="2005"/>
      <c r="O84" s="1989"/>
      <c r="P84" s="1989"/>
      <c r="Q84" s="1989"/>
      <c r="R84" s="2008"/>
      <c r="S84" s="1989"/>
      <c r="T84" s="1500"/>
      <c r="U84" s="1500"/>
      <c r="V84" s="1502"/>
      <c r="W84" s="1326"/>
      <c r="X84" s="1296"/>
      <c r="Y84" s="1296"/>
      <c r="Z84" s="1296"/>
      <c r="AA84" s="1296"/>
      <c r="AB84" s="1296"/>
      <c r="AC84" s="1296" t="s">
        <v>236</v>
      </c>
      <c r="AD84" s="1296" t="s">
        <v>237</v>
      </c>
      <c r="AE84" s="1296" t="s">
        <v>238</v>
      </c>
      <c r="AF84" s="1296" t="s">
        <v>239</v>
      </c>
      <c r="AG84" s="1296"/>
      <c r="AH84" s="1296" t="str">
        <f>IF($E$84=0,"",$E$84)</f>
        <v>Тариф на подключение (технологическое присоединение) к централизованной системе холодного водоснабжения</v>
      </c>
      <c r="AI84" s="1296" t="str">
        <f>IF($G$84=0,"",$G$84)</f>
        <v/>
      </c>
      <c r="AJ84" s="1296" t="str">
        <f>IF($J$84=0,"",$J$84)</f>
        <v/>
      </c>
      <c r="AK84" s="1296" t="str">
        <f>IF($K$84="нет","без дифференциации",IF($N$84=0,"",$N$84))</f>
        <v/>
      </c>
      <c r="AL84" s="1296" t="str">
        <f>IF($O$84="нет","без дифференциации",IF($R$84=0,"",$R$84))</f>
        <v/>
      </c>
      <c r="AM84" s="1296" t="str">
        <f>IF($S$84="нет","без дифференциации",IF($V$84=0,"",$V$84))</f>
        <v/>
      </c>
      <c r="AN84" s="1813">
        <f>$I$84</f>
        <v>0</v>
      </c>
      <c r="AO84" s="1296" t="str">
        <f>$I$84&amp;"."&amp;$M$84</f>
        <v>.</v>
      </c>
      <c r="AP84" s="1288" t="str">
        <f>$I$84&amp;"."&amp;$M$84&amp;"."&amp;$Q$84</f>
        <v>..</v>
      </c>
      <c r="AQ84" s="1288" t="str">
        <f>$I$84&amp;"."&amp;$M$84&amp;"."&amp;$Q$84&amp;"."&amp;$U$84</f>
        <v>...</v>
      </c>
    </row>
    <row s="2926" customFormat="1" customHeight="1" ht="17.25" hidden="1">
      <c r="A85" s="314"/>
      <c r="C85" s="313"/>
      <c r="D85" s="1991"/>
      <c r="E85" s="1993"/>
      <c r="F85" s="1996"/>
      <c r="G85" s="1993"/>
      <c r="H85" s="1999"/>
      <c r="I85" s="2001"/>
      <c r="J85" s="2003"/>
      <c r="K85" s="1990"/>
      <c r="L85" s="1990"/>
      <c r="M85" s="1990"/>
      <c r="N85" s="2006"/>
      <c r="O85" s="1990"/>
      <c r="P85" s="1990"/>
      <c r="Q85" s="1990"/>
      <c r="R85" s="2007"/>
      <c r="S85" s="1990"/>
      <c r="T85" s="1327"/>
      <c r="U85" s="1327"/>
      <c r="V85" s="1327"/>
      <c r="W85" s="1328"/>
      <c r="X85" s="1288"/>
      <c r="Y85" s="1288"/>
      <c r="Z85" s="1288"/>
      <c r="AA85" s="1288"/>
      <c r="AB85" s="1288"/>
      <c r="AC85" s="1288"/>
      <c r="AD85" s="1288"/>
      <c r="AE85" s="1288"/>
      <c r="AF85" s="1288"/>
      <c r="AG85" s="1288"/>
      <c r="AH85" s="1288"/>
      <c r="AI85" s="1288"/>
      <c r="AJ85" s="1288"/>
      <c r="AK85" s="1288"/>
      <c r="AL85" s="1288"/>
      <c r="AM85" s="1288"/>
      <c r="AN85" s="1288"/>
      <c r="AO85" s="1288"/>
      <c r="AP85" s="1288"/>
      <c r="AQ85" s="1288"/>
    </row>
    <row s="2926" customFormat="1" customHeight="1" ht="17.25" hidden="1">
      <c r="A86" s="314"/>
      <c r="C86" s="313"/>
      <c r="D86" s="1992"/>
      <c r="E86" s="1994"/>
      <c r="F86" s="1996"/>
      <c r="G86" s="1994"/>
      <c r="H86" s="1999"/>
      <c r="I86" s="2001"/>
      <c r="J86" s="2004"/>
      <c r="K86" s="1990"/>
      <c r="L86" s="1990"/>
      <c r="M86" s="1990"/>
      <c r="N86" s="2007"/>
      <c r="O86" s="1990"/>
      <c r="P86" s="1501"/>
      <c r="Q86" s="1327"/>
      <c r="R86" s="1327"/>
      <c r="S86" s="325"/>
      <c r="T86" s="325"/>
      <c r="U86" s="325"/>
      <c r="V86" s="325"/>
      <c r="W86" s="1328"/>
      <c r="X86" s="1288"/>
      <c r="Y86" s="1288"/>
      <c r="Z86" s="1288"/>
      <c r="AA86" s="1288"/>
      <c r="AB86" s="1288"/>
      <c r="AC86" s="1288"/>
      <c r="AD86" s="1288"/>
      <c r="AE86" s="1288"/>
      <c r="AF86" s="1288"/>
      <c r="AG86" s="1288"/>
      <c r="AH86" s="1288"/>
      <c r="AI86" s="1288"/>
      <c r="AJ86" s="1288"/>
      <c r="AK86" s="1288"/>
      <c r="AL86" s="1288"/>
      <c r="AM86" s="1288"/>
      <c r="AN86" s="1288"/>
      <c r="AO86" s="1288"/>
      <c r="AP86" s="1288"/>
      <c r="AQ86" s="1288"/>
    </row>
    <row s="2926" customFormat="1" customHeight="1" ht="17.25" hidden="1">
      <c r="A87" s="314"/>
      <c r="C87" s="313"/>
      <c r="D87" s="1992"/>
      <c r="E87" s="1994"/>
      <c r="F87" s="1996"/>
      <c r="G87" s="1994"/>
      <c r="H87" s="1999"/>
      <c r="I87" s="2001"/>
      <c r="J87" s="2004"/>
      <c r="K87" s="1990"/>
      <c r="L87" s="1327"/>
      <c r="M87" s="1327"/>
      <c r="N87" s="1327"/>
      <c r="O87" s="1327"/>
      <c r="P87" s="1327"/>
      <c r="Q87" s="1327"/>
      <c r="R87" s="1327"/>
      <c r="S87" s="325"/>
      <c r="T87" s="325"/>
      <c r="U87" s="325"/>
      <c r="V87" s="325"/>
      <c r="W87" s="1328"/>
      <c r="X87" s="1288"/>
      <c r="Y87" s="1288"/>
      <c r="Z87" s="1288"/>
      <c r="AA87" s="1288"/>
      <c r="AB87" s="1288"/>
      <c r="AC87" s="1288"/>
      <c r="AD87" s="1288"/>
      <c r="AE87" s="1288"/>
      <c r="AF87" s="1288"/>
      <c r="AG87" s="1288"/>
      <c r="AH87" s="1288"/>
      <c r="AI87" s="1288"/>
      <c r="AJ87" s="1288"/>
      <c r="AK87" s="1288"/>
      <c r="AL87" s="1288"/>
      <c r="AM87" s="1288"/>
      <c r="AN87" s="1288"/>
      <c r="AO87" s="1288"/>
      <c r="AP87" s="1288"/>
      <c r="AQ87" s="1288"/>
    </row>
    <row s="2926" customFormat="1" customHeight="1" ht="17.25" hidden="1">
      <c r="A88" s="314"/>
      <c r="C88" s="313"/>
      <c r="D88" s="1992"/>
      <c r="E88" s="1994"/>
      <c r="F88" s="1997"/>
      <c r="G88" s="1994"/>
      <c r="H88" s="1329"/>
      <c r="I88" s="1330"/>
      <c r="J88" s="1330"/>
      <c r="K88" s="1330"/>
      <c r="L88" s="1330"/>
      <c r="M88" s="1330"/>
      <c r="N88" s="1330"/>
      <c r="O88" s="1330"/>
      <c r="P88" s="1330"/>
      <c r="Q88" s="1330"/>
      <c r="R88" s="1330"/>
      <c r="S88" s="1331"/>
      <c r="T88" s="1331"/>
      <c r="U88" s="1331"/>
      <c r="V88" s="1331"/>
      <c r="W88" s="1332"/>
      <c r="X88" s="1288"/>
      <c r="Y88" s="1288"/>
      <c r="Z88" s="1288"/>
      <c r="AA88" s="1288"/>
      <c r="AB88" s="1288"/>
      <c r="AC88" s="1288"/>
      <c r="AD88" s="1288"/>
      <c r="AE88" s="1288"/>
      <c r="AF88" s="1288"/>
      <c r="AG88" s="1288"/>
      <c r="AH88" s="1288"/>
      <c r="AI88" s="1288"/>
      <c r="AJ88" s="1288"/>
      <c r="AK88" s="1288"/>
      <c r="AL88" s="1288"/>
      <c r="AM88" s="1288"/>
      <c r="AN88" s="1288"/>
      <c r="AO88" s="1288"/>
      <c r="AP88" s="1288"/>
      <c r="AQ88" s="1288"/>
    </row>
    <row s="2931" customFormat="1" customHeight="1" ht="11.25" hidden="1">
      <c r="A89" s="263"/>
      <c r="B89" s="263"/>
      <c r="Y89" s="1288"/>
      <c r="Z89" s="1288"/>
      <c r="AA89" s="1288"/>
      <c r="AB89" s="1288"/>
      <c r="AC89" s="1288"/>
      <c r="AD89" s="1288"/>
      <c r="AE89" s="1288"/>
      <c r="AF89" s="1288"/>
      <c r="AG89" s="1288"/>
      <c r="AH89" s="1288"/>
      <c r="AI89" s="1288"/>
      <c r="AJ89" s="1288"/>
      <c r="AK89" s="1288"/>
      <c r="AL89" s="1288"/>
      <c r="AM89" s="1288"/>
      <c r="AN89" s="1288"/>
      <c r="AO89" s="1288"/>
      <c r="AP89" s="1288"/>
      <c r="AQ89" s="1288"/>
    </row>
    <row s="2931" customFormat="1" customHeight="1" ht="17.25" hidden="1">
      <c r="A90" s="314"/>
      <c r="C90" s="195"/>
      <c r="D90" s="1991">
        <v>1</v>
      </c>
      <c r="E90" s="1993" t="s">
        <v>240</v>
      </c>
      <c r="F90" s="1995" t="s">
        <v>56</v>
      </c>
      <c r="G90" s="1993"/>
      <c r="H90" s="1998"/>
      <c r="I90" s="2000"/>
      <c r="J90" s="2002"/>
      <c r="K90" s="1989"/>
      <c r="L90" s="1989"/>
      <c r="M90" s="1989"/>
      <c r="N90" s="2005"/>
      <c r="O90" s="1989"/>
      <c r="P90" s="1989"/>
      <c r="Q90" s="1989"/>
      <c r="R90" s="2008"/>
      <c r="S90" s="1989"/>
      <c r="T90" s="1500"/>
      <c r="U90" s="1500"/>
      <c r="V90" s="1502"/>
      <c r="W90" s="1326"/>
      <c r="Y90" s="1296"/>
      <c r="Z90" s="1296"/>
      <c r="AA90" s="1296"/>
      <c r="AB90" s="1296"/>
      <c r="AC90" s="1296" t="s">
        <v>241</v>
      </c>
      <c r="AD90" s="1296" t="s">
        <v>242</v>
      </c>
      <c r="AE90" s="1296" t="s">
        <v>243</v>
      </c>
      <c r="AF90" s="1296" t="s">
        <v>244</v>
      </c>
      <c r="AG90" s="1296"/>
      <c r="AH90" s="1296" t="str">
        <f>IF($E$90=0,"",$E$90)</f>
        <v>Тариф на горячую воду (горячее водоснабжение)</v>
      </c>
      <c r="AI90" s="1296" t="str">
        <f>IF($G$90=0,"",$G$90)</f>
        <v/>
      </c>
      <c r="AJ90" s="1296" t="str">
        <f>IF($J$90=0,"",$J$90)</f>
        <v/>
      </c>
      <c r="AK90" s="1296" t="str">
        <f>IF($K$90="нет","без дифференциации",IF($N$90=0,"",$N$90))</f>
        <v/>
      </c>
      <c r="AL90" s="1296" t="str">
        <f>IF($O$90="нет","без дифференциации",IF($R$90=0,"",$R$90))</f>
        <v/>
      </c>
      <c r="AM90" s="1296" t="str">
        <f>IF($S$90="нет","без дифференциации",IF($V$90=0,"",$V$90))</f>
        <v/>
      </c>
      <c r="AN90" s="1296">
        <f>$I$90</f>
        <v>0</v>
      </c>
      <c r="AO90" s="1296" t="str">
        <f>$I$90&amp;"."&amp;$M$90</f>
        <v>.</v>
      </c>
      <c r="AP90" s="1296" t="str">
        <f>$I$90&amp;"."&amp;$M$90&amp;"."&amp;$Q$90</f>
        <v>..</v>
      </c>
      <c r="AQ90" s="1296" t="str">
        <f>$I$90&amp;"."&amp;$M$90&amp;"."&amp;$Q$90&amp;"."&amp;$U$90</f>
        <v>...</v>
      </c>
    </row>
    <row s="2931" customFormat="1" customHeight="1" ht="17.25" hidden="1">
      <c r="A91" s="314"/>
      <c r="C91" s="313"/>
      <c r="D91" s="1991"/>
      <c r="E91" s="1993"/>
      <c r="F91" s="1996"/>
      <c r="G91" s="1993"/>
      <c r="H91" s="1999"/>
      <c r="I91" s="2001"/>
      <c r="J91" s="2003"/>
      <c r="K91" s="1990"/>
      <c r="L91" s="1990"/>
      <c r="M91" s="1990"/>
      <c r="N91" s="2006"/>
      <c r="O91" s="1990"/>
      <c r="P91" s="1990"/>
      <c r="Q91" s="1990"/>
      <c r="R91" s="2007"/>
      <c r="S91" s="1990"/>
      <c r="T91" s="1327"/>
      <c r="U91" s="1327"/>
      <c r="V91" s="1327"/>
      <c r="W91" s="1328"/>
      <c r="Y91" s="1288"/>
      <c r="Z91" s="1288"/>
      <c r="AA91" s="1288"/>
      <c r="AB91" s="1288"/>
      <c r="AC91" s="1288"/>
      <c r="AD91" s="1288"/>
      <c r="AE91" s="1288"/>
      <c r="AF91" s="1288"/>
      <c r="AG91" s="1288"/>
      <c r="AH91" s="1288"/>
      <c r="AI91" s="1288"/>
      <c r="AJ91" s="1288"/>
      <c r="AK91" s="1288"/>
      <c r="AL91" s="1288"/>
      <c r="AM91" s="1288"/>
      <c r="AN91" s="1288"/>
      <c r="AO91" s="1288"/>
      <c r="AP91" s="1288"/>
      <c r="AQ91" s="1288"/>
    </row>
    <row s="2931" customFormat="1" customHeight="1" ht="17.25" hidden="1">
      <c r="A92" s="314"/>
      <c r="C92" s="195"/>
      <c r="D92" s="1991"/>
      <c r="E92" s="1993"/>
      <c r="F92" s="1996"/>
      <c r="G92" s="1993"/>
      <c r="H92" s="1999"/>
      <c r="I92" s="2001"/>
      <c r="J92" s="2004"/>
      <c r="K92" s="1990"/>
      <c r="L92" s="1990"/>
      <c r="M92" s="1990"/>
      <c r="N92" s="2007"/>
      <c r="O92" s="1990"/>
      <c r="P92" s="1501"/>
      <c r="Q92" s="1327"/>
      <c r="R92" s="1327"/>
      <c r="S92" s="325"/>
      <c r="T92" s="325"/>
      <c r="U92" s="325"/>
      <c r="V92" s="325"/>
      <c r="W92" s="1328"/>
      <c r="Y92" s="1296"/>
      <c r="Z92" s="1296"/>
      <c r="AA92" s="1296"/>
      <c r="AB92" s="1296"/>
      <c r="AC92" s="1296"/>
      <c r="AD92" s="1296"/>
      <c r="AE92" s="1296"/>
      <c r="AF92" s="1296"/>
      <c r="AG92" s="1296"/>
      <c r="AH92" s="1296"/>
      <c r="AI92" s="1296"/>
      <c r="AJ92" s="1296"/>
      <c r="AK92" s="1296"/>
      <c r="AL92" s="1296"/>
      <c r="AM92" s="1296"/>
      <c r="AN92" s="1296"/>
      <c r="AO92" s="1296"/>
      <c r="AP92" s="1296"/>
      <c r="AQ92" s="1296"/>
    </row>
    <row s="2931" customFormat="1" customHeight="1" ht="17.25" hidden="1">
      <c r="A93" s="314"/>
      <c r="C93" s="313"/>
      <c r="D93" s="1991"/>
      <c r="E93" s="1993"/>
      <c r="F93" s="1996"/>
      <c r="G93" s="1993"/>
      <c r="H93" s="1999"/>
      <c r="I93" s="2001"/>
      <c r="J93" s="2004"/>
      <c r="K93" s="1990"/>
      <c r="L93" s="1327"/>
      <c r="M93" s="1327"/>
      <c r="N93" s="1327"/>
      <c r="O93" s="1327"/>
      <c r="P93" s="1327"/>
      <c r="Q93" s="1327"/>
      <c r="R93" s="1327"/>
      <c r="S93" s="325"/>
      <c r="T93" s="325"/>
      <c r="U93" s="325"/>
      <c r="V93" s="325"/>
      <c r="W93" s="1328"/>
      <c r="Y93" s="1288"/>
      <c r="Z93" s="1288"/>
      <c r="AA93" s="1288"/>
      <c r="AB93" s="1288"/>
      <c r="AC93" s="1288"/>
      <c r="AD93" s="1288"/>
      <c r="AE93" s="1288"/>
      <c r="AF93" s="1288"/>
      <c r="AG93" s="1288"/>
      <c r="AH93" s="1288"/>
      <c r="AI93" s="1288"/>
      <c r="AJ93" s="1288"/>
      <c r="AK93" s="1288"/>
      <c r="AL93" s="1288"/>
      <c r="AM93" s="1288"/>
      <c r="AN93" s="1288"/>
      <c r="AO93" s="1288"/>
      <c r="AP93" s="1288"/>
      <c r="AQ93" s="1288"/>
    </row>
    <row s="2931" customFormat="1" customHeight="1" ht="17.25" hidden="1">
      <c r="A94" s="314"/>
      <c r="C94" s="313"/>
      <c r="D94" s="1992"/>
      <c r="E94" s="1994"/>
      <c r="F94" s="1997"/>
      <c r="G94" s="1994"/>
      <c r="H94" s="1329"/>
      <c r="I94" s="1330"/>
      <c r="J94" s="1330"/>
      <c r="K94" s="1330"/>
      <c r="L94" s="1330"/>
      <c r="M94" s="1330"/>
      <c r="N94" s="1330"/>
      <c r="O94" s="1330"/>
      <c r="P94" s="1330"/>
      <c r="Q94" s="1330"/>
      <c r="R94" s="1330"/>
      <c r="S94" s="1331"/>
      <c r="T94" s="1331"/>
      <c r="U94" s="1331"/>
      <c r="V94" s="1331"/>
      <c r="W94" s="1332"/>
      <c r="Y94" s="1288"/>
      <c r="Z94" s="1288"/>
      <c r="AA94" s="1288"/>
      <c r="AB94" s="1288"/>
      <c r="AC94" s="1288"/>
      <c r="AD94" s="1288"/>
      <c r="AE94" s="1288"/>
      <c r="AF94" s="1288"/>
      <c r="AG94" s="1288"/>
      <c r="AH94" s="1288"/>
      <c r="AI94" s="1288"/>
      <c r="AJ94" s="1288"/>
      <c r="AK94" s="1288"/>
      <c r="AL94" s="1288"/>
      <c r="AM94" s="1288"/>
      <c r="AN94" s="1288"/>
      <c r="AO94" s="1288"/>
      <c r="AP94" s="1288"/>
      <c r="AQ94" s="1288"/>
    </row>
    <row s="2931" customFormat="1" customHeight="1" ht="17.25" hidden="1">
      <c r="A95" s="314"/>
      <c r="C95" s="195"/>
      <c r="D95" s="1991">
        <v>2</v>
      </c>
      <c r="E95" s="1993" t="s">
        <v>245</v>
      </c>
      <c r="F95" s="1995" t="s">
        <v>56</v>
      </c>
      <c r="G95" s="1993"/>
      <c r="H95" s="1998"/>
      <c r="I95" s="2000"/>
      <c r="J95" s="2002"/>
      <c r="K95" s="1989"/>
      <c r="L95" s="1989"/>
      <c r="M95" s="1989"/>
      <c r="N95" s="2005"/>
      <c r="O95" s="1989"/>
      <c r="P95" s="1989"/>
      <c r="Q95" s="1989"/>
      <c r="R95" s="2008"/>
      <c r="S95" s="1989"/>
      <c r="T95" s="1500"/>
      <c r="U95" s="1500"/>
      <c r="V95" s="1502"/>
      <c r="W95" s="1326"/>
      <c r="X95" s="1296"/>
      <c r="Y95" s="1296"/>
      <c r="Z95" s="1296"/>
      <c r="AA95" s="1296"/>
      <c r="AB95" s="1296"/>
      <c r="AC95" s="1296" t="s">
        <v>246</v>
      </c>
      <c r="AD95" s="1296" t="s">
        <v>247</v>
      </c>
      <c r="AE95" s="1296" t="s">
        <v>248</v>
      </c>
      <c r="AF95" s="1296" t="s">
        <v>249</v>
      </c>
      <c r="AG95" s="1296"/>
      <c r="AH95" s="1296" t="str">
        <f>IF($E$95=0,"",$E$95)</f>
        <v>Тариф на транспортировку горячей воды</v>
      </c>
      <c r="AI95" s="1296" t="str">
        <f>IF($G$95=0,"",$G$95)</f>
        <v/>
      </c>
      <c r="AJ95" s="1296" t="str">
        <f>IF($J$95=0,"",$J$95)</f>
        <v/>
      </c>
      <c r="AK95" s="1296" t="str">
        <f>IF($K$95="нет","без дифференциации",IF($N$95=0,"",$N$95))</f>
        <v/>
      </c>
      <c r="AL95" s="1296" t="str">
        <f>IF($O$95="нет","без дифференциации",IF($R$95=0,"",$R$95))</f>
        <v/>
      </c>
      <c r="AM95" s="1296" t="str">
        <f>IF($S$95="нет","без дифференциации",IF($V$95=0,"",$V$95))</f>
        <v/>
      </c>
      <c r="AN95" s="1813">
        <f>$I$95</f>
        <v>0</v>
      </c>
      <c r="AO95" s="1296" t="str">
        <f>$I$95&amp;"."&amp;$M$95</f>
        <v>.</v>
      </c>
      <c r="AP95" s="1288" t="str">
        <f>$I$95&amp;"."&amp;$M$95&amp;"."&amp;$Q$95</f>
        <v>..</v>
      </c>
      <c r="AQ95" s="1288" t="str">
        <f>$I$95&amp;"."&amp;$M$95&amp;"."&amp;$Q$95&amp;"."&amp;$U$95</f>
        <v>...</v>
      </c>
    </row>
    <row s="2931" customFormat="1" customHeight="1" ht="17.25" hidden="1">
      <c r="A96" s="314"/>
      <c r="C96" s="313"/>
      <c r="D96" s="1991"/>
      <c r="E96" s="1993"/>
      <c r="F96" s="1996"/>
      <c r="G96" s="1993"/>
      <c r="H96" s="1999"/>
      <c r="I96" s="2001"/>
      <c r="J96" s="2003"/>
      <c r="K96" s="1990"/>
      <c r="L96" s="1990"/>
      <c r="M96" s="1990"/>
      <c r="N96" s="2006"/>
      <c r="O96" s="1990"/>
      <c r="P96" s="1990"/>
      <c r="Q96" s="1990"/>
      <c r="R96" s="2007"/>
      <c r="S96" s="1990"/>
      <c r="T96" s="1327"/>
      <c r="U96" s="1327"/>
      <c r="V96" s="1327"/>
      <c r="W96" s="1328"/>
      <c r="X96" s="1288"/>
      <c r="Y96" s="1288"/>
      <c r="Z96" s="1288"/>
      <c r="AA96" s="1288"/>
      <c r="AB96" s="1288"/>
      <c r="AC96" s="1288"/>
      <c r="AD96" s="1288"/>
      <c r="AE96" s="1288"/>
      <c r="AF96" s="1288"/>
      <c r="AG96" s="1288"/>
      <c r="AH96" s="1288"/>
      <c r="AI96" s="1288"/>
      <c r="AJ96" s="1288"/>
      <c r="AK96" s="1288"/>
      <c r="AL96" s="1288"/>
      <c r="AM96" s="1288"/>
      <c r="AN96" s="1288"/>
      <c r="AO96" s="1288"/>
      <c r="AP96" s="1288"/>
      <c r="AQ96" s="1288"/>
    </row>
    <row s="2931" customFormat="1" customHeight="1" ht="17.25" hidden="1">
      <c r="A97" s="314"/>
      <c r="C97" s="313"/>
      <c r="D97" s="1992"/>
      <c r="E97" s="1994"/>
      <c r="F97" s="1996"/>
      <c r="G97" s="1994"/>
      <c r="H97" s="1999"/>
      <c r="I97" s="2001"/>
      <c r="J97" s="2004"/>
      <c r="K97" s="1990"/>
      <c r="L97" s="1990"/>
      <c r="M97" s="1990"/>
      <c r="N97" s="2007"/>
      <c r="O97" s="1990"/>
      <c r="P97" s="1501"/>
      <c r="Q97" s="1327"/>
      <c r="R97" s="1327"/>
      <c r="S97" s="325"/>
      <c r="T97" s="325"/>
      <c r="U97" s="325"/>
      <c r="V97" s="325"/>
      <c r="W97" s="1328"/>
      <c r="X97" s="1288"/>
      <c r="Y97" s="1288"/>
      <c r="Z97" s="1288"/>
      <c r="AA97" s="1288"/>
      <c r="AB97" s="1288"/>
      <c r="AC97" s="1288"/>
      <c r="AD97" s="1288"/>
      <c r="AE97" s="1288"/>
      <c r="AF97" s="1288"/>
      <c r="AG97" s="1288"/>
      <c r="AH97" s="1288"/>
      <c r="AI97" s="1288"/>
      <c r="AJ97" s="1288"/>
      <c r="AK97" s="1288"/>
      <c r="AL97" s="1288"/>
      <c r="AM97" s="1288"/>
      <c r="AN97" s="1288"/>
      <c r="AO97" s="1288"/>
      <c r="AP97" s="1288"/>
      <c r="AQ97" s="1288"/>
    </row>
    <row s="2931" customFormat="1" customHeight="1" ht="17.25" hidden="1">
      <c r="A98" s="314"/>
      <c r="C98" s="313"/>
      <c r="D98" s="1992"/>
      <c r="E98" s="1994"/>
      <c r="F98" s="1996"/>
      <c r="G98" s="1994"/>
      <c r="H98" s="1999"/>
      <c r="I98" s="2001"/>
      <c r="J98" s="2004"/>
      <c r="K98" s="1990"/>
      <c r="L98" s="1327"/>
      <c r="M98" s="1327"/>
      <c r="N98" s="1327"/>
      <c r="O98" s="1327"/>
      <c r="P98" s="1327"/>
      <c r="Q98" s="1327"/>
      <c r="R98" s="1327"/>
      <c r="S98" s="325"/>
      <c r="T98" s="325"/>
      <c r="U98" s="325"/>
      <c r="V98" s="325"/>
      <c r="W98" s="1328"/>
      <c r="X98" s="1288"/>
      <c r="Y98" s="1288"/>
      <c r="Z98" s="1288"/>
      <c r="AA98" s="1288"/>
      <c r="AB98" s="1288"/>
      <c r="AC98" s="1288"/>
      <c r="AD98" s="1288"/>
      <c r="AE98" s="1288"/>
      <c r="AF98" s="1288"/>
      <c r="AG98" s="1288"/>
      <c r="AH98" s="1288"/>
      <c r="AI98" s="1288"/>
      <c r="AJ98" s="1288"/>
      <c r="AK98" s="1288"/>
      <c r="AL98" s="1288"/>
      <c r="AM98" s="1288"/>
      <c r="AN98" s="1288"/>
      <c r="AO98" s="1288"/>
      <c r="AP98" s="1288"/>
      <c r="AQ98" s="1288"/>
    </row>
    <row s="2931" customFormat="1" customHeight="1" ht="17.25" hidden="1">
      <c r="A99" s="314"/>
      <c r="C99" s="313"/>
      <c r="D99" s="1992"/>
      <c r="E99" s="1994"/>
      <c r="F99" s="1997"/>
      <c r="G99" s="1994"/>
      <c r="H99" s="1329"/>
      <c r="I99" s="1330"/>
      <c r="J99" s="1330"/>
      <c r="K99" s="1330"/>
      <c r="L99" s="1330"/>
      <c r="M99" s="1330"/>
      <c r="N99" s="1330"/>
      <c r="O99" s="1330"/>
      <c r="P99" s="1330"/>
      <c r="Q99" s="1330"/>
      <c r="R99" s="1330"/>
      <c r="S99" s="1331"/>
      <c r="T99" s="1331"/>
      <c r="U99" s="1331"/>
      <c r="V99" s="1331"/>
      <c r="W99" s="1332"/>
      <c r="X99" s="1288"/>
      <c r="Y99" s="1288"/>
      <c r="Z99" s="1288"/>
      <c r="AA99" s="1288"/>
      <c r="AB99" s="1288"/>
      <c r="AC99" s="1288"/>
      <c r="AD99" s="1288"/>
      <c r="AE99" s="1288"/>
      <c r="AF99" s="1288"/>
      <c r="AG99" s="1288"/>
      <c r="AH99" s="1288"/>
      <c r="AI99" s="1288"/>
      <c r="AJ99" s="1288"/>
      <c r="AK99" s="1288"/>
      <c r="AL99" s="1288"/>
      <c r="AM99" s="1288"/>
      <c r="AN99" s="1288"/>
      <c r="AO99" s="1288"/>
      <c r="AP99" s="1288"/>
      <c r="AQ99" s="1288"/>
    </row>
    <row s="2931" customFormat="1" customHeight="1" ht="17.25" hidden="1">
      <c r="A100" s="314"/>
      <c r="C100" s="195"/>
      <c r="D100" s="1991">
        <v>3</v>
      </c>
      <c r="E100" s="1993" t="s">
        <v>250</v>
      </c>
      <c r="F100" s="1995" t="s">
        <v>56</v>
      </c>
      <c r="G100" s="1993"/>
      <c r="H100" s="1998"/>
      <c r="I100" s="2000"/>
      <c r="J100" s="2002"/>
      <c r="K100" s="1989"/>
      <c r="L100" s="1989"/>
      <c r="M100" s="1989"/>
      <c r="N100" s="2005"/>
      <c r="O100" s="1989"/>
      <c r="P100" s="1989"/>
      <c r="Q100" s="1989"/>
      <c r="R100" s="2008"/>
      <c r="S100" s="1989"/>
      <c r="T100" s="1500"/>
      <c r="U100" s="1500"/>
      <c r="V100" s="1502"/>
      <c r="W100" s="1326"/>
      <c r="X100" s="1296"/>
      <c r="Y100" s="1296"/>
      <c r="Z100" s="1296"/>
      <c r="AA100" s="1296"/>
      <c r="AB100" s="1296"/>
      <c r="AC100" s="1296" t="s">
        <v>251</v>
      </c>
      <c r="AD100" s="1296" t="s">
        <v>252</v>
      </c>
      <c r="AE100" s="1296" t="s">
        <v>253</v>
      </c>
      <c r="AF100" s="1296" t="s">
        <v>254</v>
      </c>
      <c r="AG100" s="1296"/>
      <c r="AH100" s="1296" t="str">
        <f>IF($E$100=0,"",$E$100)</f>
        <v>Тариф на подключение (технологическое присоединение) к централизованной системе горячего водоснабжения</v>
      </c>
      <c r="AI100" s="1296" t="str">
        <f>IF($G$100=0,"",$G$100)</f>
        <v/>
      </c>
      <c r="AJ100" s="1296" t="str">
        <f>IF($J$100=0,"",$J$100)</f>
        <v/>
      </c>
      <c r="AK100" s="1296" t="str">
        <f>IF($K$100="нет","без дифференциации",IF($N$100=0,"",$N$100))</f>
        <v/>
      </c>
      <c r="AL100" s="1296" t="str">
        <f>IF($O$100="нет","без дифференциации",IF($R$100=0,"",$R$100))</f>
        <v/>
      </c>
      <c r="AM100" s="1296" t="str">
        <f>IF($S$100="нет","без дифференциации",IF($V$100=0,"",$V$100))</f>
        <v/>
      </c>
      <c r="AN100" s="1813">
        <f>$I$100</f>
        <v>0</v>
      </c>
      <c r="AO100" s="1296" t="str">
        <f>$I$100&amp;"."&amp;$M$100</f>
        <v>.</v>
      </c>
      <c r="AP100" s="1288" t="str">
        <f>$I$100&amp;"."&amp;$M$100&amp;"."&amp;$Q$100</f>
        <v>..</v>
      </c>
      <c r="AQ100" s="1288" t="str">
        <f>$I$100&amp;"."&amp;$M$100&amp;"."&amp;$Q$100&amp;"."&amp;$U$100</f>
        <v>...</v>
      </c>
    </row>
    <row s="2931" customFormat="1" customHeight="1" ht="17.25" hidden="1">
      <c r="A101" s="314"/>
      <c r="C101" s="313"/>
      <c r="D101" s="1991"/>
      <c r="E101" s="1993"/>
      <c r="F101" s="1996"/>
      <c r="G101" s="1993"/>
      <c r="H101" s="1999"/>
      <c r="I101" s="2001"/>
      <c r="J101" s="2003"/>
      <c r="K101" s="1990"/>
      <c r="L101" s="1990"/>
      <c r="M101" s="1990"/>
      <c r="N101" s="2006"/>
      <c r="O101" s="1990"/>
      <c r="P101" s="1990"/>
      <c r="Q101" s="1990"/>
      <c r="R101" s="2007"/>
      <c r="S101" s="1990"/>
      <c r="T101" s="1327"/>
      <c r="U101" s="1327"/>
      <c r="V101" s="1327"/>
      <c r="W101" s="1328"/>
      <c r="X101" s="1288"/>
      <c r="Y101" s="1288"/>
      <c r="Z101" s="1288"/>
      <c r="AA101" s="1288"/>
      <c r="AB101" s="1288"/>
      <c r="AC101" s="1288"/>
      <c r="AD101" s="1288"/>
      <c r="AE101" s="1288"/>
      <c r="AF101" s="1288"/>
      <c r="AG101" s="1288"/>
      <c r="AH101" s="1288"/>
      <c r="AI101" s="1288"/>
      <c r="AJ101" s="1288"/>
      <c r="AK101" s="1288"/>
      <c r="AL101" s="1288"/>
      <c r="AM101" s="1288"/>
      <c r="AN101" s="1288"/>
      <c r="AO101" s="1288"/>
      <c r="AP101" s="1288"/>
      <c r="AQ101" s="1288"/>
    </row>
    <row s="2931" customFormat="1" customHeight="1" ht="17.25" hidden="1">
      <c r="A102" s="314"/>
      <c r="C102" s="313"/>
      <c r="D102" s="1992"/>
      <c r="E102" s="1994"/>
      <c r="F102" s="1996"/>
      <c r="G102" s="1994"/>
      <c r="H102" s="1999"/>
      <c r="I102" s="2001"/>
      <c r="J102" s="2004"/>
      <c r="K102" s="1990"/>
      <c r="L102" s="1990"/>
      <c r="M102" s="1990"/>
      <c r="N102" s="2007"/>
      <c r="O102" s="1990"/>
      <c r="P102" s="1501"/>
      <c r="Q102" s="1327"/>
      <c r="R102" s="1327"/>
      <c r="S102" s="325"/>
      <c r="T102" s="325"/>
      <c r="U102" s="325"/>
      <c r="V102" s="325"/>
      <c r="W102" s="1328"/>
      <c r="X102" s="1288"/>
      <c r="Y102" s="1288"/>
      <c r="Z102" s="1288"/>
      <c r="AA102" s="1288"/>
      <c r="AB102" s="1288"/>
      <c r="AC102" s="1288"/>
      <c r="AD102" s="1288"/>
      <c r="AE102" s="1288"/>
      <c r="AF102" s="1288"/>
      <c r="AG102" s="1288"/>
      <c r="AH102" s="1288"/>
      <c r="AI102" s="1288"/>
      <c r="AJ102" s="1288"/>
      <c r="AK102" s="1288"/>
      <c r="AL102" s="1288"/>
      <c r="AM102" s="1288"/>
      <c r="AN102" s="1288"/>
      <c r="AO102" s="1288"/>
      <c r="AP102" s="1288"/>
      <c r="AQ102" s="1288"/>
    </row>
    <row s="2931" customFormat="1" customHeight="1" ht="17.25" hidden="1">
      <c r="A103" s="314"/>
      <c r="C103" s="313"/>
      <c r="D103" s="1992"/>
      <c r="E103" s="1994"/>
      <c r="F103" s="1996"/>
      <c r="G103" s="1994"/>
      <c r="H103" s="1999"/>
      <c r="I103" s="2001"/>
      <c r="J103" s="2004"/>
      <c r="K103" s="1990"/>
      <c r="L103" s="1327"/>
      <c r="M103" s="1327"/>
      <c r="N103" s="1327"/>
      <c r="O103" s="1327"/>
      <c r="P103" s="1327"/>
      <c r="Q103" s="1327"/>
      <c r="R103" s="1327"/>
      <c r="S103" s="325"/>
      <c r="T103" s="325"/>
      <c r="U103" s="325"/>
      <c r="V103" s="325"/>
      <c r="W103" s="1328"/>
      <c r="X103" s="1288"/>
      <c r="Y103" s="1288"/>
      <c r="Z103" s="1288"/>
      <c r="AA103" s="1288"/>
      <c r="AB103" s="1288"/>
      <c r="AC103" s="1288"/>
      <c r="AD103" s="1288"/>
      <c r="AE103" s="1288"/>
      <c r="AF103" s="1288"/>
      <c r="AG103" s="1288"/>
      <c r="AH103" s="1288"/>
      <c r="AI103" s="1288"/>
      <c r="AJ103" s="1288"/>
      <c r="AK103" s="1288"/>
      <c r="AL103" s="1288"/>
      <c r="AM103" s="1288"/>
      <c r="AN103" s="1288"/>
      <c r="AO103" s="1288"/>
      <c r="AP103" s="1288"/>
      <c r="AQ103" s="1288"/>
    </row>
    <row s="2931" customFormat="1" customHeight="1" ht="17.25" hidden="1">
      <c r="A104" s="314"/>
      <c r="C104" s="313"/>
      <c r="D104" s="1992"/>
      <c r="E104" s="1994"/>
      <c r="F104" s="1997"/>
      <c r="G104" s="1994"/>
      <c r="H104" s="1329"/>
      <c r="I104" s="1330"/>
      <c r="J104" s="1330"/>
      <c r="K104" s="1330"/>
      <c r="L104" s="1330"/>
      <c r="M104" s="1330"/>
      <c r="N104" s="1330"/>
      <c r="O104" s="1330"/>
      <c r="P104" s="1330"/>
      <c r="Q104" s="1330"/>
      <c r="R104" s="1330"/>
      <c r="S104" s="1331"/>
      <c r="T104" s="1331"/>
      <c r="U104" s="1331"/>
      <c r="V104" s="1331"/>
      <c r="W104" s="1332"/>
      <c r="X104" s="1288"/>
      <c r="Y104" s="1288"/>
      <c r="Z104" s="1288"/>
      <c r="AA104" s="1288"/>
      <c r="AB104" s="1288"/>
      <c r="AC104" s="1288"/>
      <c r="AD104" s="1288"/>
      <c r="AE104" s="1288"/>
      <c r="AF104" s="1288"/>
      <c r="AG104" s="1288"/>
      <c r="AH104" s="1288"/>
      <c r="AI104" s="1288"/>
      <c r="AJ104" s="1288"/>
      <c r="AK104" s="1288"/>
      <c r="AL104" s="1288"/>
      <c r="AM104" s="1288"/>
      <c r="AN104" s="1288"/>
      <c r="AO104" s="1288"/>
      <c r="AP104" s="1288"/>
      <c r="AQ104" s="1288"/>
    </row>
    <row s="2931" customFormat="1" customHeight="1" ht="11.25" hidden="1">
      <c r="A105" s="263"/>
      <c r="B105" s="263"/>
      <c r="Y105" s="1288"/>
      <c r="Z105" s="1288"/>
      <c r="AA105" s="1288"/>
      <c r="AB105" s="1288"/>
      <c r="AC105" s="1288"/>
      <c r="AD105" s="1288"/>
      <c r="AE105" s="1288"/>
      <c r="AF105" s="1288"/>
      <c r="AG105" s="1288"/>
      <c r="AH105" s="1288"/>
      <c r="AI105" s="1288"/>
      <c r="AJ105" s="1288"/>
      <c r="AK105" s="1288"/>
      <c r="AL105" s="1288"/>
      <c r="AM105" s="1288"/>
      <c r="AN105" s="1288"/>
      <c r="AO105" s="1288"/>
      <c r="AP105" s="1288"/>
      <c r="AQ105" s="1288"/>
    </row>
    <row s="2931" customFormat="1" customHeight="1" ht="17.25" hidden="1">
      <c r="A106" s="314"/>
      <c r="C106" s="195"/>
      <c r="D106" s="1991">
        <v>1</v>
      </c>
      <c r="E106" s="1993" t="s">
        <v>255</v>
      </c>
      <c r="F106" s="1995" t="s">
        <v>56</v>
      </c>
      <c r="G106" s="1993"/>
      <c r="H106" s="1998"/>
      <c r="I106" s="2000"/>
      <c r="J106" s="2002"/>
      <c r="K106" s="1989"/>
      <c r="L106" s="1989"/>
      <c r="M106" s="1989"/>
      <c r="N106" s="2005"/>
      <c r="O106" s="1989"/>
      <c r="P106" s="1989"/>
      <c r="Q106" s="1989"/>
      <c r="R106" s="2008"/>
      <c r="S106" s="1989"/>
      <c r="T106" s="1500"/>
      <c r="U106" s="1500"/>
      <c r="V106" s="1502"/>
      <c r="W106" s="1326"/>
      <c r="Y106" s="1296"/>
      <c r="Z106" s="1296"/>
      <c r="AA106" s="1296"/>
      <c r="AB106" s="1296"/>
      <c r="AC106" s="1296" t="s">
        <v>256</v>
      </c>
      <c r="AD106" s="1296" t="s">
        <v>257</v>
      </c>
      <c r="AE106" s="1296" t="s">
        <v>258</v>
      </c>
      <c r="AF106" s="1296" t="s">
        <v>259</v>
      </c>
      <c r="AG106" s="1296"/>
      <c r="AH106" s="1296" t="str">
        <f>IF($E$106=0,"",$E$106)</f>
        <v>Тариф на водоотведение</v>
      </c>
      <c r="AI106" s="1296" t="str">
        <f>IF($G$106=0,"",$G$106)</f>
        <v/>
      </c>
      <c r="AJ106" s="1296" t="str">
        <f>IF($J$106=0,"",$J$106)</f>
        <v/>
      </c>
      <c r="AK106" s="1296" t="str">
        <f>IF($K$106="нет","без дифференциации",IF($N$106=0,"",$N$106))</f>
        <v/>
      </c>
      <c r="AL106" s="1296" t="str">
        <f>IF($O$106="нет","без дифференциации",IF($R$106=0,"",$R$106))</f>
        <v/>
      </c>
      <c r="AM106" s="1296" t="str">
        <f>IF($S$106="нет","без дифференциации",IF($V$106=0,"",$V$106))</f>
        <v/>
      </c>
      <c r="AN106" s="1296">
        <f>$I$106</f>
        <v>0</v>
      </c>
      <c r="AO106" s="1296" t="str">
        <f>$I$106&amp;"."&amp;$M$106</f>
        <v>.</v>
      </c>
      <c r="AP106" s="1296" t="str">
        <f>$I$106&amp;"."&amp;$M$106&amp;"."&amp;$Q$106</f>
        <v>..</v>
      </c>
      <c r="AQ106" s="1296" t="str">
        <f>$I$106&amp;"."&amp;$M$106&amp;"."&amp;$Q$106&amp;"."&amp;$U$106</f>
        <v>...</v>
      </c>
    </row>
    <row s="2931" customFormat="1" customHeight="1" ht="17.25" hidden="1">
      <c r="A107" s="314"/>
      <c r="C107" s="313"/>
      <c r="D107" s="1991"/>
      <c r="E107" s="1993"/>
      <c r="F107" s="1996"/>
      <c r="G107" s="1993"/>
      <c r="H107" s="1999"/>
      <c r="I107" s="2001"/>
      <c r="J107" s="2003"/>
      <c r="K107" s="1990"/>
      <c r="L107" s="1990"/>
      <c r="M107" s="1990"/>
      <c r="N107" s="2006"/>
      <c r="O107" s="1990"/>
      <c r="P107" s="1990"/>
      <c r="Q107" s="1990"/>
      <c r="R107" s="2007"/>
      <c r="S107" s="1990"/>
      <c r="T107" s="1327"/>
      <c r="U107" s="1327"/>
      <c r="V107" s="1327"/>
      <c r="W107" s="1328"/>
      <c r="Y107" s="1288"/>
      <c r="Z107" s="1288"/>
      <c r="AA107" s="1288"/>
      <c r="AB107" s="1288"/>
      <c r="AC107" s="1288"/>
      <c r="AD107" s="1288"/>
      <c r="AE107" s="1288"/>
      <c r="AF107" s="1288"/>
      <c r="AG107" s="1288"/>
      <c r="AH107" s="1288"/>
      <c r="AI107" s="1288"/>
      <c r="AJ107" s="1288"/>
      <c r="AK107" s="1288"/>
      <c r="AL107" s="1288"/>
      <c r="AM107" s="1288"/>
      <c r="AN107" s="1288"/>
      <c r="AO107" s="1288"/>
      <c r="AP107" s="1288"/>
      <c r="AQ107" s="1288"/>
    </row>
    <row s="2931" customFormat="1" customHeight="1" ht="17.25" hidden="1">
      <c r="A108" s="314"/>
      <c r="C108" s="195"/>
      <c r="D108" s="1991"/>
      <c r="E108" s="1993"/>
      <c r="F108" s="1996"/>
      <c r="G108" s="1993"/>
      <c r="H108" s="1999"/>
      <c r="I108" s="2001"/>
      <c r="J108" s="2004"/>
      <c r="K108" s="1990"/>
      <c r="L108" s="1990"/>
      <c r="M108" s="1990"/>
      <c r="N108" s="2007"/>
      <c r="O108" s="1990"/>
      <c r="P108" s="1501"/>
      <c r="Q108" s="1327"/>
      <c r="R108" s="1327"/>
      <c r="S108" s="325"/>
      <c r="T108" s="325"/>
      <c r="U108" s="325"/>
      <c r="V108" s="325"/>
      <c r="W108" s="1328"/>
      <c r="Y108" s="1296"/>
      <c r="Z108" s="1296"/>
      <c r="AA108" s="1296"/>
      <c r="AB108" s="1296"/>
      <c r="AC108" s="1296"/>
      <c r="AD108" s="1296"/>
      <c r="AE108" s="1296"/>
      <c r="AF108" s="1296"/>
      <c r="AG108" s="1296"/>
      <c r="AH108" s="1296"/>
      <c r="AI108" s="1296"/>
      <c r="AJ108" s="1296"/>
      <c r="AK108" s="1296"/>
      <c r="AL108" s="1296"/>
      <c r="AM108" s="1296"/>
      <c r="AN108" s="1296"/>
      <c r="AO108" s="1296"/>
      <c r="AP108" s="1296"/>
      <c r="AQ108" s="1296"/>
    </row>
    <row s="2931" customFormat="1" customHeight="1" ht="17.25" hidden="1">
      <c r="A109" s="314"/>
      <c r="C109" s="313"/>
      <c r="D109" s="1991"/>
      <c r="E109" s="1993"/>
      <c r="F109" s="1996"/>
      <c r="G109" s="1993"/>
      <c r="H109" s="1999"/>
      <c r="I109" s="2001"/>
      <c r="J109" s="2004"/>
      <c r="K109" s="1990"/>
      <c r="L109" s="1327"/>
      <c r="M109" s="1327"/>
      <c r="N109" s="1327"/>
      <c r="O109" s="1327"/>
      <c r="P109" s="1327"/>
      <c r="Q109" s="1327"/>
      <c r="R109" s="1327"/>
      <c r="S109" s="325"/>
      <c r="T109" s="325"/>
      <c r="U109" s="325"/>
      <c r="V109" s="325"/>
      <c r="W109" s="1328"/>
      <c r="Y109" s="1288"/>
      <c r="Z109" s="1288"/>
      <c r="AA109" s="1288"/>
      <c r="AB109" s="1288"/>
      <c r="AC109" s="1288"/>
      <c r="AD109" s="1288"/>
      <c r="AE109" s="1288"/>
      <c r="AF109" s="1288"/>
      <c r="AG109" s="1288"/>
      <c r="AH109" s="1288"/>
      <c r="AI109" s="1288"/>
      <c r="AJ109" s="1288"/>
      <c r="AK109" s="1288"/>
      <c r="AL109" s="1288"/>
      <c r="AM109" s="1288"/>
      <c r="AN109" s="1288"/>
      <c r="AO109" s="1288"/>
      <c r="AP109" s="1288"/>
      <c r="AQ109" s="1288"/>
    </row>
    <row s="2931" customFormat="1" customHeight="1" ht="17.25" hidden="1">
      <c r="A110" s="314"/>
      <c r="C110" s="313"/>
      <c r="D110" s="1992"/>
      <c r="E110" s="1994"/>
      <c r="F110" s="1997"/>
      <c r="G110" s="1994"/>
      <c r="H110" s="1329"/>
      <c r="I110" s="1330"/>
      <c r="J110" s="1330"/>
      <c r="K110" s="1330"/>
      <c r="L110" s="1330"/>
      <c r="M110" s="1330"/>
      <c r="N110" s="1330"/>
      <c r="O110" s="1330"/>
      <c r="P110" s="1330"/>
      <c r="Q110" s="1330"/>
      <c r="R110" s="1330"/>
      <c r="S110" s="1331"/>
      <c r="T110" s="1331"/>
      <c r="U110" s="1331"/>
      <c r="V110" s="1331"/>
      <c r="W110" s="1332"/>
      <c r="Y110" s="1288"/>
      <c r="Z110" s="1288"/>
      <c r="AA110" s="1288"/>
      <c r="AB110" s="1288"/>
      <c r="AC110" s="1288"/>
      <c r="AD110" s="1288"/>
      <c r="AE110" s="1288"/>
      <c r="AF110" s="1288"/>
      <c r="AG110" s="1288"/>
      <c r="AH110" s="1288"/>
      <c r="AI110" s="1288"/>
      <c r="AJ110" s="1288"/>
      <c r="AK110" s="1288"/>
      <c r="AL110" s="1288"/>
      <c r="AM110" s="1288"/>
      <c r="AN110" s="1288"/>
      <c r="AO110" s="1288"/>
      <c r="AP110" s="1288"/>
      <c r="AQ110" s="1288"/>
    </row>
    <row s="2931" customFormat="1" customHeight="1" ht="17.25" hidden="1">
      <c r="A111" s="314"/>
      <c r="C111" s="195"/>
      <c r="D111" s="1991">
        <v>2</v>
      </c>
      <c r="E111" s="1993" t="s">
        <v>260</v>
      </c>
      <c r="F111" s="1995" t="s">
        <v>56</v>
      </c>
      <c r="G111" s="1993"/>
      <c r="H111" s="1998"/>
      <c r="I111" s="2000"/>
      <c r="J111" s="2002"/>
      <c r="K111" s="1989"/>
      <c r="L111" s="1989"/>
      <c r="M111" s="1989"/>
      <c r="N111" s="2005"/>
      <c r="O111" s="1989"/>
      <c r="P111" s="1989"/>
      <c r="Q111" s="1989"/>
      <c r="R111" s="2008"/>
      <c r="S111" s="1989"/>
      <c r="T111" s="1500"/>
      <c r="U111" s="1500"/>
      <c r="V111" s="1502"/>
      <c r="W111" s="1326"/>
      <c r="X111" s="1296"/>
      <c r="Y111" s="1296"/>
      <c r="Z111" s="1296"/>
      <c r="AA111" s="1296"/>
      <c r="AB111" s="1296"/>
      <c r="AC111" s="1296" t="s">
        <v>261</v>
      </c>
      <c r="AD111" s="1296" t="s">
        <v>262</v>
      </c>
      <c r="AE111" s="1296" t="s">
        <v>263</v>
      </c>
      <c r="AF111" s="1296" t="s">
        <v>264</v>
      </c>
      <c r="AG111" s="1296"/>
      <c r="AH111" s="1296" t="str">
        <f>IF($E$111=0,"",$E$111)</f>
        <v>Тариф на транспортировку сточных вод</v>
      </c>
      <c r="AI111" s="1296" t="str">
        <f>IF($G$111=0,"",$G$111)</f>
        <v/>
      </c>
      <c r="AJ111" s="1296" t="str">
        <f>IF($J$111=0,"",$J$111)</f>
        <v/>
      </c>
      <c r="AK111" s="1296" t="str">
        <f>IF($K$111="нет","без дифференциации",IF($N$111=0,"",$N$111))</f>
        <v/>
      </c>
      <c r="AL111" s="1296" t="str">
        <f>IF($O$111="нет","без дифференциации",IF($R$111=0,"",$R$111))</f>
        <v/>
      </c>
      <c r="AM111" s="1296" t="str">
        <f>IF($S$111="нет","без дифференциации",IF($V$111=0,"",$V$111))</f>
        <v/>
      </c>
      <c r="AN111" s="1813">
        <f>$I$111</f>
        <v>0</v>
      </c>
      <c r="AO111" s="1296" t="str">
        <f>$I$111&amp;"."&amp;$M$111</f>
        <v>.</v>
      </c>
      <c r="AP111" s="1288" t="str">
        <f>$I$111&amp;"."&amp;$M$111&amp;"."&amp;$Q$111</f>
        <v>..</v>
      </c>
      <c r="AQ111" s="1288" t="str">
        <f>$I$111&amp;"."&amp;$M$111&amp;"."&amp;$Q$111&amp;"."&amp;$U$111</f>
        <v>...</v>
      </c>
    </row>
    <row s="2931" customFormat="1" customHeight="1" ht="17.25" hidden="1">
      <c r="A112" s="314"/>
      <c r="C112" s="313"/>
      <c r="D112" s="1991"/>
      <c r="E112" s="1993"/>
      <c r="F112" s="1996"/>
      <c r="G112" s="1993"/>
      <c r="H112" s="1999"/>
      <c r="I112" s="2001"/>
      <c r="J112" s="2003"/>
      <c r="K112" s="1990"/>
      <c r="L112" s="1990"/>
      <c r="M112" s="1990"/>
      <c r="N112" s="2006"/>
      <c r="O112" s="1990"/>
      <c r="P112" s="1990"/>
      <c r="Q112" s="1990"/>
      <c r="R112" s="2007"/>
      <c r="S112" s="1990"/>
      <c r="T112" s="1327"/>
      <c r="U112" s="1327"/>
      <c r="V112" s="1327"/>
      <c r="W112" s="1328"/>
      <c r="X112" s="1288"/>
      <c r="Y112" s="1288"/>
      <c r="Z112" s="1288"/>
      <c r="AA112" s="1288"/>
      <c r="AB112" s="1288"/>
      <c r="AC112" s="1288"/>
      <c r="AD112" s="1288"/>
      <c r="AE112" s="1288"/>
      <c r="AF112" s="1288"/>
      <c r="AG112" s="1288"/>
      <c r="AH112" s="1288"/>
      <c r="AI112" s="1288"/>
      <c r="AJ112" s="1288"/>
      <c r="AK112" s="1288"/>
      <c r="AL112" s="1288"/>
      <c r="AM112" s="1288"/>
      <c r="AN112" s="1288"/>
      <c r="AO112" s="1288"/>
      <c r="AP112" s="1288"/>
      <c r="AQ112" s="1288"/>
    </row>
    <row s="2931" customFormat="1" customHeight="1" ht="17.25" hidden="1">
      <c r="A113" s="314"/>
      <c r="C113" s="313"/>
      <c r="D113" s="1992"/>
      <c r="E113" s="1994"/>
      <c r="F113" s="1996"/>
      <c r="G113" s="1994"/>
      <c r="H113" s="1999"/>
      <c r="I113" s="2001"/>
      <c r="J113" s="2004"/>
      <c r="K113" s="1990"/>
      <c r="L113" s="1990"/>
      <c r="M113" s="1990"/>
      <c r="N113" s="2007"/>
      <c r="O113" s="1990"/>
      <c r="P113" s="1501"/>
      <c r="Q113" s="1327"/>
      <c r="R113" s="1327"/>
      <c r="S113" s="325"/>
      <c r="T113" s="325"/>
      <c r="U113" s="325"/>
      <c r="V113" s="325"/>
      <c r="W113" s="1328"/>
      <c r="X113" s="1288"/>
      <c r="Y113" s="1288"/>
      <c r="Z113" s="1288"/>
      <c r="AA113" s="1288"/>
      <c r="AB113" s="1288"/>
      <c r="AC113" s="1288"/>
      <c r="AD113" s="1288"/>
      <c r="AE113" s="1288"/>
      <c r="AF113" s="1288"/>
      <c r="AG113" s="1288"/>
      <c r="AH113" s="1288"/>
      <c r="AI113" s="1288"/>
      <c r="AJ113" s="1288"/>
      <c r="AK113" s="1288"/>
      <c r="AL113" s="1288"/>
      <c r="AM113" s="1288"/>
      <c r="AN113" s="1288"/>
      <c r="AO113" s="1288"/>
      <c r="AP113" s="1288"/>
      <c r="AQ113" s="1288"/>
    </row>
    <row s="2931" customFormat="1" customHeight="1" ht="17.25" hidden="1">
      <c r="A114" s="314"/>
      <c r="C114" s="313"/>
      <c r="D114" s="1992"/>
      <c r="E114" s="1994"/>
      <c r="F114" s="1996"/>
      <c r="G114" s="1994"/>
      <c r="H114" s="1999"/>
      <c r="I114" s="2001"/>
      <c r="J114" s="2004"/>
      <c r="K114" s="1990"/>
      <c r="L114" s="1327"/>
      <c r="M114" s="1327"/>
      <c r="N114" s="1327"/>
      <c r="O114" s="1327"/>
      <c r="P114" s="1327"/>
      <c r="Q114" s="1327"/>
      <c r="R114" s="1327"/>
      <c r="S114" s="325"/>
      <c r="T114" s="325"/>
      <c r="U114" s="325"/>
      <c r="V114" s="325"/>
      <c r="W114" s="1328"/>
      <c r="X114" s="1288"/>
      <c r="Y114" s="1288"/>
      <c r="Z114" s="1288"/>
      <c r="AA114" s="1288"/>
      <c r="AB114" s="1288"/>
      <c r="AC114" s="1288"/>
      <c r="AD114" s="1288"/>
      <c r="AE114" s="1288"/>
      <c r="AF114" s="1288"/>
      <c r="AG114" s="1288"/>
      <c r="AH114" s="1288"/>
      <c r="AI114" s="1288"/>
      <c r="AJ114" s="1288"/>
      <c r="AK114" s="1288"/>
      <c r="AL114" s="1288"/>
      <c r="AM114" s="1288"/>
      <c r="AN114" s="1288"/>
      <c r="AO114" s="1288"/>
      <c r="AP114" s="1288"/>
      <c r="AQ114" s="1288"/>
    </row>
    <row s="2931" customFormat="1" customHeight="1" ht="17.25" hidden="1">
      <c r="A115" s="314"/>
      <c r="C115" s="313"/>
      <c r="D115" s="1992"/>
      <c r="E115" s="1994"/>
      <c r="F115" s="1997"/>
      <c r="G115" s="1994"/>
      <c r="H115" s="1329"/>
      <c r="I115" s="1330"/>
      <c r="J115" s="1330"/>
      <c r="K115" s="1330"/>
      <c r="L115" s="1330"/>
      <c r="M115" s="1330"/>
      <c r="N115" s="1330"/>
      <c r="O115" s="1330"/>
      <c r="P115" s="1330"/>
      <c r="Q115" s="1330"/>
      <c r="R115" s="1330"/>
      <c r="S115" s="1331"/>
      <c r="T115" s="1331"/>
      <c r="U115" s="1331"/>
      <c r="V115" s="1331"/>
      <c r="W115" s="1332"/>
      <c r="X115" s="1288"/>
      <c r="Y115" s="1288"/>
      <c r="Z115" s="1288"/>
      <c r="AA115" s="1288"/>
      <c r="AB115" s="1288"/>
      <c r="AC115" s="1288"/>
      <c r="AD115" s="1288"/>
      <c r="AE115" s="1288"/>
      <c r="AF115" s="1288"/>
      <c r="AG115" s="1288"/>
      <c r="AH115" s="1288"/>
      <c r="AI115" s="1288"/>
      <c r="AJ115" s="1288"/>
      <c r="AK115" s="1288"/>
      <c r="AL115" s="1288"/>
      <c r="AM115" s="1288"/>
      <c r="AN115" s="1288"/>
      <c r="AO115" s="1288"/>
      <c r="AP115" s="1288"/>
      <c r="AQ115" s="1288"/>
    </row>
    <row s="2931" customFormat="1" customHeight="1" ht="17.25" hidden="1">
      <c r="A116" s="314"/>
      <c r="C116" s="195"/>
      <c r="D116" s="1991">
        <v>3</v>
      </c>
      <c r="E116" s="1993" t="s">
        <v>265</v>
      </c>
      <c r="F116" s="1995" t="s">
        <v>56</v>
      </c>
      <c r="G116" s="1993"/>
      <c r="H116" s="1998"/>
      <c r="I116" s="2000"/>
      <c r="J116" s="2002"/>
      <c r="K116" s="1989"/>
      <c r="L116" s="1989"/>
      <c r="M116" s="1989"/>
      <c r="N116" s="2005"/>
      <c r="O116" s="1989"/>
      <c r="P116" s="1989"/>
      <c r="Q116" s="1989"/>
      <c r="R116" s="2008"/>
      <c r="S116" s="1989"/>
      <c r="T116" s="1500"/>
      <c r="U116" s="1500"/>
      <c r="V116" s="1502"/>
      <c r="W116" s="1326"/>
      <c r="X116" s="1296"/>
      <c r="Y116" s="1296"/>
      <c r="Z116" s="1296"/>
      <c r="AA116" s="1296"/>
      <c r="AB116" s="1296"/>
      <c r="AC116" s="1296" t="s">
        <v>266</v>
      </c>
      <c r="AD116" s="1296" t="s">
        <v>267</v>
      </c>
      <c r="AE116" s="1296" t="s">
        <v>268</v>
      </c>
      <c r="AF116" s="1296" t="s">
        <v>269</v>
      </c>
      <c r="AG116" s="1296"/>
      <c r="AH116" s="1296" t="str">
        <f>IF($E$116=0,"",$E$116)</f>
        <v>Тариф на подключение (технологическое присоединение) к централизованной системе водоотведения</v>
      </c>
      <c r="AI116" s="1296" t="str">
        <f>IF($G$116=0,"",$G$116)</f>
        <v/>
      </c>
      <c r="AJ116" s="1296" t="str">
        <f>IF($J$116=0,"",$J$116)</f>
        <v/>
      </c>
      <c r="AK116" s="1296" t="str">
        <f>IF($K$116="нет","без дифференциации",IF($N$116=0,"",$N$116))</f>
        <v/>
      </c>
      <c r="AL116" s="1296" t="str">
        <f>IF($O$116="нет","без дифференциации",IF($R$116=0,"",$R$116))</f>
        <v/>
      </c>
      <c r="AM116" s="1296" t="str">
        <f>IF($S$116="нет","без дифференциации",IF($V$116=0,"",$V$116))</f>
        <v/>
      </c>
      <c r="AN116" s="1813">
        <f>$I$116</f>
        <v>0</v>
      </c>
      <c r="AO116" s="1296" t="str">
        <f>$I$116&amp;"."&amp;$M$116</f>
        <v>.</v>
      </c>
      <c r="AP116" s="1288" t="str">
        <f>$I$116&amp;"."&amp;$M$116&amp;"."&amp;$Q$116</f>
        <v>..</v>
      </c>
      <c r="AQ116" s="1288" t="str">
        <f>$I$116&amp;"."&amp;$M$116&amp;"."&amp;$Q$116&amp;"."&amp;$U$116</f>
        <v>...</v>
      </c>
    </row>
    <row s="2931" customFormat="1" customHeight="1" ht="17.25" hidden="1">
      <c r="A117" s="314"/>
      <c r="C117" s="313"/>
      <c r="D117" s="1991"/>
      <c r="E117" s="1993"/>
      <c r="F117" s="1996"/>
      <c r="G117" s="1993"/>
      <c r="H117" s="1999"/>
      <c r="I117" s="2001"/>
      <c r="J117" s="2003"/>
      <c r="K117" s="1990"/>
      <c r="L117" s="1990"/>
      <c r="M117" s="1990"/>
      <c r="N117" s="2006"/>
      <c r="O117" s="1990"/>
      <c r="P117" s="1990"/>
      <c r="Q117" s="1990"/>
      <c r="R117" s="2007"/>
      <c r="S117" s="1990"/>
      <c r="T117" s="1327"/>
      <c r="U117" s="1327"/>
      <c r="V117" s="1327"/>
      <c r="W117" s="1328"/>
      <c r="X117" s="1288"/>
      <c r="Y117" s="1288"/>
      <c r="Z117" s="1288"/>
      <c r="AA117" s="1288"/>
      <c r="AB117" s="1288"/>
      <c r="AC117" s="1288"/>
      <c r="AD117" s="1288"/>
      <c r="AE117" s="1288"/>
      <c r="AF117" s="1288"/>
      <c r="AG117" s="1288"/>
      <c r="AH117" s="1288"/>
      <c r="AI117" s="1288"/>
      <c r="AJ117" s="1288"/>
      <c r="AK117" s="1288"/>
      <c r="AL117" s="1288"/>
      <c r="AM117" s="1288"/>
      <c r="AN117" s="1288"/>
      <c r="AO117" s="1288"/>
      <c r="AP117" s="1288"/>
      <c r="AQ117" s="1288"/>
    </row>
    <row s="2931" customFormat="1" customHeight="1" ht="17.25" hidden="1">
      <c r="A118" s="314"/>
      <c r="C118" s="313"/>
      <c r="D118" s="1992"/>
      <c r="E118" s="1994"/>
      <c r="F118" s="1996"/>
      <c r="G118" s="1994"/>
      <c r="H118" s="1999"/>
      <c r="I118" s="2001"/>
      <c r="J118" s="2004"/>
      <c r="K118" s="1990"/>
      <c r="L118" s="1990"/>
      <c r="M118" s="1990"/>
      <c r="N118" s="2007"/>
      <c r="O118" s="1990"/>
      <c r="P118" s="1501"/>
      <c r="Q118" s="1327"/>
      <c r="R118" s="1327"/>
      <c r="S118" s="325"/>
      <c r="T118" s="325"/>
      <c r="U118" s="325"/>
      <c r="V118" s="325"/>
      <c r="W118" s="1328"/>
      <c r="X118" s="1288"/>
      <c r="Y118" s="1288"/>
      <c r="Z118" s="1288"/>
      <c r="AA118" s="1288"/>
      <c r="AB118" s="1288"/>
      <c r="AC118" s="1288"/>
      <c r="AD118" s="1288"/>
      <c r="AE118" s="1288"/>
      <c r="AF118" s="1288"/>
      <c r="AG118" s="1288"/>
      <c r="AH118" s="1288"/>
      <c r="AI118" s="1288"/>
      <c r="AJ118" s="1288"/>
      <c r="AK118" s="1288"/>
      <c r="AL118" s="1288"/>
      <c r="AM118" s="1288"/>
      <c r="AN118" s="1288"/>
      <c r="AO118" s="1288"/>
      <c r="AP118" s="1288"/>
      <c r="AQ118" s="1288"/>
    </row>
    <row s="2931" customFormat="1" customHeight="1" ht="17.25" hidden="1">
      <c r="A119" s="314"/>
      <c r="C119" s="313"/>
      <c r="D119" s="1992"/>
      <c r="E119" s="1994"/>
      <c r="F119" s="1996"/>
      <c r="G119" s="1994"/>
      <c r="H119" s="1999"/>
      <c r="I119" s="2001"/>
      <c r="J119" s="2004"/>
      <c r="K119" s="1990"/>
      <c r="L119" s="1327"/>
      <c r="M119" s="1327"/>
      <c r="N119" s="1327"/>
      <c r="O119" s="1327"/>
      <c r="P119" s="1327"/>
      <c r="Q119" s="1327"/>
      <c r="R119" s="1327"/>
      <c r="S119" s="325"/>
      <c r="T119" s="325"/>
      <c r="U119" s="325"/>
      <c r="V119" s="325"/>
      <c r="W119" s="1328"/>
      <c r="X119" s="1288"/>
      <c r="Y119" s="1288"/>
      <c r="Z119" s="1288"/>
      <c r="AA119" s="1288"/>
      <c r="AB119" s="1288"/>
      <c r="AC119" s="1288"/>
      <c r="AD119" s="1288"/>
      <c r="AE119" s="1288"/>
      <c r="AF119" s="1288"/>
      <c r="AG119" s="1288"/>
      <c r="AH119" s="1288"/>
      <c r="AI119" s="1288"/>
      <c r="AJ119" s="1288"/>
      <c r="AK119" s="1288"/>
      <c r="AL119" s="1288"/>
      <c r="AM119" s="1288"/>
      <c r="AN119" s="1288"/>
      <c r="AO119" s="1288"/>
      <c r="AP119" s="1288"/>
      <c r="AQ119" s="1288"/>
    </row>
    <row s="2931" customFormat="1" customHeight="1" ht="17.25" hidden="1">
      <c r="A120" s="314"/>
      <c r="C120" s="313"/>
      <c r="D120" s="1992"/>
      <c r="E120" s="1994"/>
      <c r="F120" s="1997"/>
      <c r="G120" s="1994"/>
      <c r="H120" s="1329"/>
      <c r="I120" s="1330"/>
      <c r="J120" s="1330"/>
      <c r="K120" s="1330"/>
      <c r="L120" s="1330"/>
      <c r="M120" s="1330"/>
      <c r="N120" s="1330"/>
      <c r="O120" s="1330"/>
      <c r="P120" s="1330"/>
      <c r="Q120" s="1330"/>
      <c r="R120" s="1330"/>
      <c r="S120" s="1331"/>
      <c r="T120" s="1331"/>
      <c r="U120" s="1331"/>
      <c r="V120" s="1331"/>
      <c r="W120" s="1332"/>
      <c r="X120" s="1288"/>
      <c r="Y120" s="1288"/>
      <c r="Z120" s="1288"/>
      <c r="AA120" s="1288"/>
      <c r="AB120" s="1288"/>
      <c r="AC120" s="1288"/>
      <c r="AD120" s="1288"/>
      <c r="AE120" s="1288"/>
      <c r="AF120" s="1288"/>
      <c r="AG120" s="1288"/>
      <c r="AH120" s="1288"/>
      <c r="AI120" s="1288"/>
      <c r="AJ120" s="1288"/>
      <c r="AK120" s="1288"/>
      <c r="AL120" s="1288"/>
      <c r="AM120" s="1288"/>
      <c r="AN120" s="1288"/>
      <c r="AO120" s="1288"/>
      <c r="AP120" s="1288"/>
      <c r="AQ120" s="1288"/>
    </row>
    <row r="124" customHeight="1" ht="11.25">
      <c r="E124" s="1380"/>
    </row>
    <row customHeight="1" ht="11.25">
      <c r="E125" s="1380"/>
    </row>
    <row customHeight="1" ht="11.25">
      <c r="E126" s="1380"/>
    </row>
    <row customHeight="1" ht="11.25">
      <c r="E127" s="1380"/>
    </row>
    <row customHeight="1" ht="11.25">
      <c r="E128" s="1380"/>
    </row>
    <row customHeight="1" ht="11.25">
      <c r="E129" s="1380"/>
    </row>
    <row customHeight="1" ht="11.25">
      <c r="E130" s="1380"/>
    </row>
  </sheetData>
  <sheetProtection formatColumns="0" formatRows="0" autoFilter="0" sort="0" insertRows="0" insertColumns="1" deleteRows="0" deleteColumns="0"/>
  <mergeCells count="331">
    <mergeCell ref="M84:M86"/>
    <mergeCell ref="N84:N86"/>
    <mergeCell ref="O84:O86"/>
    <mergeCell ref="P84:P85"/>
    <mergeCell ref="Q84:Q85"/>
    <mergeCell ref="R84:R85"/>
    <mergeCell ref="S84:S85"/>
    <mergeCell ref="D84:D88"/>
    <mergeCell ref="E84:E88"/>
    <mergeCell ref="F84:F88"/>
    <mergeCell ref="G84:G88"/>
    <mergeCell ref="H84:H87"/>
    <mergeCell ref="I84:I87"/>
    <mergeCell ref="J84:J87"/>
    <mergeCell ref="K84:K87"/>
    <mergeCell ref="L84:L86"/>
    <mergeCell ref="M79:M81"/>
    <mergeCell ref="N79:N81"/>
    <mergeCell ref="O79:O81"/>
    <mergeCell ref="P79:P80"/>
    <mergeCell ref="Q79:Q80"/>
    <mergeCell ref="R79:R80"/>
    <mergeCell ref="S79:S80"/>
    <mergeCell ref="D74:D78"/>
    <mergeCell ref="E74:E78"/>
    <mergeCell ref="M74:M76"/>
    <mergeCell ref="D79:D83"/>
    <mergeCell ref="E79:E83"/>
    <mergeCell ref="F79:F83"/>
    <mergeCell ref="G79:G83"/>
    <mergeCell ref="H79:H82"/>
    <mergeCell ref="I79:I82"/>
    <mergeCell ref="J79:J82"/>
    <mergeCell ref="K79:K82"/>
    <mergeCell ref="L79:L81"/>
    <mergeCell ref="F74:F78"/>
    <mergeCell ref="G74:G78"/>
    <mergeCell ref="H74:H77"/>
    <mergeCell ref="I74:I77"/>
    <mergeCell ref="J74:J77"/>
    <mergeCell ref="L74:L76"/>
    <mergeCell ref="Q69:Q70"/>
    <mergeCell ref="R69:R70"/>
    <mergeCell ref="S69:S70"/>
    <mergeCell ref="K69:K72"/>
    <mergeCell ref="K64:K67"/>
    <mergeCell ref="N69:N71"/>
    <mergeCell ref="O69:O71"/>
    <mergeCell ref="P69:P70"/>
    <mergeCell ref="S74:S75"/>
    <mergeCell ref="N74:N76"/>
    <mergeCell ref="O74:O76"/>
    <mergeCell ref="P74:P75"/>
    <mergeCell ref="Q74:Q75"/>
    <mergeCell ref="R74:R75"/>
    <mergeCell ref="L69:L71"/>
    <mergeCell ref="N64:N66"/>
    <mergeCell ref="O64:O66"/>
    <mergeCell ref="P64:P65"/>
    <mergeCell ref="Q64:Q65"/>
    <mergeCell ref="R64:R65"/>
    <mergeCell ref="S64:S65"/>
    <mergeCell ref="M69:M71"/>
    <mergeCell ref="W9:W10"/>
    <mergeCell ref="O9:R9"/>
    <mergeCell ref="K9:N9"/>
    <mergeCell ref="T11:U11"/>
    <mergeCell ref="S9:V9"/>
    <mergeCell ref="T10:U10"/>
    <mergeCell ref="D64:D68"/>
    <mergeCell ref="E64:E68"/>
    <mergeCell ref="D69:D73"/>
    <mergeCell ref="E69:E73"/>
    <mergeCell ref="F69:F73"/>
    <mergeCell ref="G69:G73"/>
    <mergeCell ref="H69:H72"/>
    <mergeCell ref="I69:I72"/>
    <mergeCell ref="J69:J72"/>
    <mergeCell ref="F64:F68"/>
    <mergeCell ref="G64:G68"/>
    <mergeCell ref="H64:H67"/>
    <mergeCell ref="I64:I67"/>
    <mergeCell ref="J64:J67"/>
    <mergeCell ref="K13:K16"/>
    <mergeCell ref="G18:G22"/>
    <mergeCell ref="N23:N25"/>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3:K26"/>
    <mergeCell ref="L23:L25"/>
    <mergeCell ref="P13:P14"/>
    <mergeCell ref="P23:P24"/>
    <mergeCell ref="Q23:Q24"/>
    <mergeCell ref="L13:L15"/>
    <mergeCell ref="M13:M15"/>
    <mergeCell ref="N13:N15"/>
    <mergeCell ref="O13:O15"/>
    <mergeCell ref="Q13:Q14"/>
    <mergeCell ref="D18:D22"/>
    <mergeCell ref="E18:E22"/>
    <mergeCell ref="F18:F22"/>
    <mergeCell ref="M23:M25"/>
    <mergeCell ref="R23:R24"/>
    <mergeCell ref="O23:O25"/>
    <mergeCell ref="D23:D27"/>
    <mergeCell ref="E23:E27"/>
    <mergeCell ref="F23:F27"/>
    <mergeCell ref="H23:H26"/>
    <mergeCell ref="I23:I26"/>
    <mergeCell ref="J23:J26"/>
    <mergeCell ref="G23:G27"/>
    <mergeCell ref="D48:D52"/>
    <mergeCell ref="E48:E52"/>
    <mergeCell ref="F48:F52"/>
    <mergeCell ref="H48:H51"/>
    <mergeCell ref="N38:N40"/>
    <mergeCell ref="G33:G37"/>
    <mergeCell ref="K33:K36"/>
    <mergeCell ref="G48:G52"/>
    <mergeCell ref="K48:K51"/>
    <mergeCell ref="N48:N50"/>
    <mergeCell ref="I48:I51"/>
    <mergeCell ref="J48:J51"/>
    <mergeCell ref="L48:L50"/>
    <mergeCell ref="M48:M50"/>
    <mergeCell ref="L38:L40"/>
    <mergeCell ref="M38:M40"/>
    <mergeCell ref="K38:K41"/>
    <mergeCell ref="D38:D42"/>
    <mergeCell ref="I38:I41"/>
    <mergeCell ref="J38:J41"/>
    <mergeCell ref="I33:I36"/>
    <mergeCell ref="J33:J36"/>
    <mergeCell ref="L33:L35"/>
    <mergeCell ref="M33:M35"/>
    <mergeCell ref="D33:D37"/>
    <mergeCell ref="Q28:Q29"/>
    <mergeCell ref="R28:R29"/>
    <mergeCell ref="D43:D47"/>
    <mergeCell ref="E43:E47"/>
    <mergeCell ref="F43:F47"/>
    <mergeCell ref="G43:G47"/>
    <mergeCell ref="H43:H46"/>
    <mergeCell ref="I43:I46"/>
    <mergeCell ref="J43:J46"/>
    <mergeCell ref="K43:K46"/>
    <mergeCell ref="L43:L45"/>
    <mergeCell ref="D28:D32"/>
    <mergeCell ref="E28:E32"/>
    <mergeCell ref="F28:F32"/>
    <mergeCell ref="H28:H31"/>
    <mergeCell ref="I28:I31"/>
    <mergeCell ref="N28:N30"/>
    <mergeCell ref="P38:P39"/>
    <mergeCell ref="O33:O35"/>
    <mergeCell ref="Q38:Q39"/>
    <mergeCell ref="R38:R39"/>
    <mergeCell ref="O38:O40"/>
    <mergeCell ref="J28:J31"/>
    <mergeCell ref="G28:G32"/>
    <mergeCell ref="K28:K31"/>
    <mergeCell ref="S28:S29"/>
    <mergeCell ref="S33:S34"/>
    <mergeCell ref="S38:S39"/>
    <mergeCell ref="O28:O30"/>
    <mergeCell ref="E33:E37"/>
    <mergeCell ref="F33:F37"/>
    <mergeCell ref="H33:H36"/>
    <mergeCell ref="L28:L30"/>
    <mergeCell ref="M28:M30"/>
    <mergeCell ref="P33:P34"/>
    <mergeCell ref="Q33:Q34"/>
    <mergeCell ref="R33:R34"/>
    <mergeCell ref="P28:P29"/>
    <mergeCell ref="M90:M92"/>
    <mergeCell ref="N90:N92"/>
    <mergeCell ref="O90:O92"/>
    <mergeCell ref="P90:P91"/>
    <mergeCell ref="Q90:Q91"/>
    <mergeCell ref="R90:R91"/>
    <mergeCell ref="S90:S91"/>
    <mergeCell ref="O48:O50"/>
    <mergeCell ref="E62:W62"/>
    <mergeCell ref="E54:W54"/>
    <mergeCell ref="E55:W55"/>
    <mergeCell ref="E56:W56"/>
    <mergeCell ref="E57:W57"/>
    <mergeCell ref="E58:W58"/>
    <mergeCell ref="L64:L66"/>
    <mergeCell ref="M64:M66"/>
    <mergeCell ref="E60:W60"/>
    <mergeCell ref="E61:W61"/>
    <mergeCell ref="K74:K77"/>
    <mergeCell ref="E38:E42"/>
    <mergeCell ref="F38:F42"/>
    <mergeCell ref="H38:H41"/>
    <mergeCell ref="G38:G42"/>
    <mergeCell ref="R13:R14"/>
    <mergeCell ref="S13:S14"/>
    <mergeCell ref="M43:M45"/>
    <mergeCell ref="N43:N45"/>
    <mergeCell ref="O43:O45"/>
    <mergeCell ref="N33:N35"/>
    <mergeCell ref="D90:D94"/>
    <mergeCell ref="E90:E94"/>
    <mergeCell ref="F90:F94"/>
    <mergeCell ref="G90:G94"/>
    <mergeCell ref="H90:H93"/>
    <mergeCell ref="I90:I93"/>
    <mergeCell ref="J90:J93"/>
    <mergeCell ref="K90:K93"/>
    <mergeCell ref="L90:L92"/>
    <mergeCell ref="P48:P49"/>
    <mergeCell ref="Q48:Q49"/>
    <mergeCell ref="R48:R49"/>
    <mergeCell ref="S48:S49"/>
    <mergeCell ref="P43:P44"/>
    <mergeCell ref="Q43:Q44"/>
    <mergeCell ref="R43:R44"/>
    <mergeCell ref="S43:S44"/>
    <mergeCell ref="S23:S24"/>
    <mergeCell ref="P100:P101"/>
    <mergeCell ref="Q100:Q101"/>
    <mergeCell ref="R100:R101"/>
    <mergeCell ref="S100:S101"/>
    <mergeCell ref="D95:D99"/>
    <mergeCell ref="E95:E99"/>
    <mergeCell ref="F95:F99"/>
    <mergeCell ref="G95:G99"/>
    <mergeCell ref="H95:H98"/>
    <mergeCell ref="I95:I98"/>
    <mergeCell ref="J95:J98"/>
    <mergeCell ref="K95:K98"/>
    <mergeCell ref="L95:L97"/>
    <mergeCell ref="S106:S107"/>
    <mergeCell ref="D106:D110"/>
    <mergeCell ref="E106:E110"/>
    <mergeCell ref="F106:F110"/>
    <mergeCell ref="G106:G110"/>
    <mergeCell ref="M95:M97"/>
    <mergeCell ref="N95:N97"/>
    <mergeCell ref="O95:O97"/>
    <mergeCell ref="P95:P96"/>
    <mergeCell ref="Q95:Q96"/>
    <mergeCell ref="R95:R96"/>
    <mergeCell ref="S95:S96"/>
    <mergeCell ref="D100:D104"/>
    <mergeCell ref="E100:E104"/>
    <mergeCell ref="F100:F104"/>
    <mergeCell ref="G100:G104"/>
    <mergeCell ref="H100:H103"/>
    <mergeCell ref="I100:I103"/>
    <mergeCell ref="J100:J103"/>
    <mergeCell ref="K100:K103"/>
    <mergeCell ref="L100:L102"/>
    <mergeCell ref="M100:M102"/>
    <mergeCell ref="N100:N102"/>
    <mergeCell ref="O100:O102"/>
    <mergeCell ref="O106:O108"/>
    <mergeCell ref="M111:M113"/>
    <mergeCell ref="N111:N113"/>
    <mergeCell ref="O111:O113"/>
    <mergeCell ref="P106:P107"/>
    <mergeCell ref="Q106:Q107"/>
    <mergeCell ref="R106:R107"/>
    <mergeCell ref="P111:P112"/>
    <mergeCell ref="Q111:Q112"/>
    <mergeCell ref="R111:R112"/>
    <mergeCell ref="K111:K114"/>
    <mergeCell ref="L111:L113"/>
    <mergeCell ref="H106:H109"/>
    <mergeCell ref="I106:I109"/>
    <mergeCell ref="J106:J109"/>
    <mergeCell ref="K106:K109"/>
    <mergeCell ref="L106:L108"/>
    <mergeCell ref="M106:M108"/>
    <mergeCell ref="N106:N108"/>
    <mergeCell ref="S111:S112"/>
    <mergeCell ref="D116:D120"/>
    <mergeCell ref="E116:E120"/>
    <mergeCell ref="F116:F120"/>
    <mergeCell ref="G116:G120"/>
    <mergeCell ref="H116:H119"/>
    <mergeCell ref="I116:I119"/>
    <mergeCell ref="J116:J119"/>
    <mergeCell ref="K116:K119"/>
    <mergeCell ref="L116:L118"/>
    <mergeCell ref="M116:M118"/>
    <mergeCell ref="N116:N118"/>
    <mergeCell ref="O116:O118"/>
    <mergeCell ref="P116:P117"/>
    <mergeCell ref="Q116:Q117"/>
    <mergeCell ref="R116:R117"/>
    <mergeCell ref="S116:S117"/>
    <mergeCell ref="D111:D115"/>
    <mergeCell ref="E111:E115"/>
    <mergeCell ref="F111:F115"/>
    <mergeCell ref="G111:G115"/>
    <mergeCell ref="H111:H114"/>
    <mergeCell ref="I111:I114"/>
    <mergeCell ref="J111:J114"/>
    <mergeCell ref="I18:I21"/>
    <mergeCell ref="L18:L20"/>
    <mergeCell ref="N18:N20"/>
    <mergeCell ref="J18:J21"/>
    <mergeCell ref="H18:H21"/>
    <mergeCell ref="M18:M20"/>
    <mergeCell ref="O18:O20"/>
    <mergeCell ref="S18:S19"/>
    <mergeCell ref="P18:P19"/>
    <mergeCell ref="Q18:Q19"/>
    <mergeCell ref="R18:R19"/>
    <mergeCell ref="K18:K21"/>
  </mergeCells>
  <dataValidations count="17">
    <dataValidation allowBlank="1" showInputMessage="1" showErrorMessage="1" prompt="Выберите виды деятельности, выполнив двойной щелчок левой кнопки мыши по ячейке." sqref="G13:G52 G64:G88 G90:G104 G106:G12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38:N40 N23:N25 N33:N35 N13:N15 N28:N30 N64:N66 N79:N81 N84:N86 N69:N71 N74:N76 N48:N50 N90:N92 N95:N97 N100:N102 N111:N113 N106:N108 N116:N118">
      <formula1>DESCRIPTION_TERRITORY</formula1>
    </dataValidation>
    <dataValidation type="textLength" operator="lessThanOrEqual" allowBlank="1" showInputMessage="1" showErrorMessage="1" errorTitle="Ошибка" error="Допускается ввод не более 900 символов!" sqref="J33:J34 J13:J14 J43:J44 R43:R44 V43:W43 J38:J39 J23:J24 R33:R34 R13:R14 R38:R39 R23:R24 V33:W33 V13:W13 V38:W38 V23:W23 J28:J29 R28:R29 V28:W28 J64:J65 R64:R65 V64:W64 J69:J70 R69:R70 V69:W69 J79:J80 R79:R80 V79:W79 J74:J75 R74:R75 V74:W74 J84:J85 R84:R85 V84:W84 J48:J49 R48:R49 V48:W48 J90:J91 R90:R91 V90:W90 J95:J96 R95:R96 V95:W95 J100:J101 R100:R101 V100:W100 J111:J112 R111:R112 V111:W111 J106:J107 R106:R107 V106:W106 J116:J117 R116:R117 V116:W116">
      <formula1>900</formula1>
    </dataValidation>
    <dataValidation allowBlank="1" showInputMessage="1" showErrorMessage="1" prompt="Для выбора выполните двойной щелчок левой клавиши мыши по соответствующей ячейке." sqref="K33:K34 K13:K14 K43:K44 O43:O44 S43:S44 K38:K39 K23:K24 O33:O34 O38:O39 O23:O24 S33:S34 S38:S39 S23:S24 F13:F52 O13:O14 S13:S14 K28:K29 O28:O29 S28:S29 K64:K65 O64:O65 S64:S65 K69:K70 O69:O70 S69:S70 K79:K80 O79:O80 S79:S80 K74:K75 O74:O75 K84:K85 O84:O85 S48:S49 S74:S75 S84:S85 K48:K49 O48:O49 F64:F88 O90:O91 S90:S91 O95:O96 S95:S96 S100:S101 K90:K91 K95:K96 K100:K101 O100:O101 F90:F104 K111:K112 O111:O112 K106:K107 O106:O107 S111:S112 F106:F120 S106:S107 K116:K117 O116:O117 S116:S117"/>
    <dataValidation type="textLength" operator="lessThanOrEqual" allowBlank="1" showInputMessage="1" showErrorMessage="1" errorTitle="Ошибка" error="Допускается ввод не более 900 символов!" sqref="J18">
      <formula1>900</formula1>
    </dataValidation>
    <dataValidation allowBlank="1" showInputMessage="1" showErrorMessage="1" prompt="Для выбора выполните двойной щелчок левой клавиши мыши по соответствующей ячейке." sqref="K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
    <dataValidation allowBlank="1" showInputMessage="1" showErrorMessage="1" prompt="Для выбора выполните двойной щелчок левой клавиши мыши по соответствующей ячейке." sqref="O18"/>
    <dataValidation type="textLength" operator="lessThanOrEqual" allowBlank="1" showInputMessage="1" showErrorMessage="1" errorTitle="Ошибка" error="Допускается ввод не более 900 символов!" sqref="R18">
      <formula1>900</formula1>
    </dataValidation>
    <dataValidation allowBlank="1" showInputMessage="1" showErrorMessage="1" prompt="Для выбора выполните двойной щелчок левой клавиши мыши по соответствующей ячейке." sqref="S18"/>
    <dataValidation type="textLength" operator="lessThanOrEqual" allowBlank="1" showInputMessage="1" showErrorMessage="1" errorTitle="Ошибка" error="Допускается ввод не более 900 символов!" sqref="V18">
      <formula1>900</formula1>
    </dataValidation>
    <dataValidation type="textLength" operator="lessThanOrEqual" allowBlank="1" showInputMessage="1" showErrorMessage="1" errorTitle="Ошибка" error="Допускается ввод не более 900 символов!" sqref="W18">
      <formula1>900</formula1>
    </dataValidation>
    <dataValidation type="textLength" operator="lessThanOrEqual" allowBlank="1" showInputMessage="1" showErrorMessage="1" errorTitle="Ошибка" error="Допускается ввод не более 900 символов!" sqref="J1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
    <dataValidation type="textLength" operator="lessThanOrEqual" allowBlank="1" showInputMessage="1" showErrorMessage="1" errorTitle="Ошибка" error="Допускается ввод не более 900 символов!" sqref="R19">
      <formula1>900</formula1>
    </dataValidation>
    <dataValidation allowBlank="1" showInputMessage="1" showErrorMessage="1" prompt="Для выбора выполните двойной щелчок левой клавиши мыши по соответствующей ячейке." sqref="S1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97541B-5D33-08E5-DD54-C8CA8B9363C8}" mc:Ignorable="x14ac xr xr2 xr3">
  <dimension ref="A1:IV14"/>
  <sheetViews>
    <sheetView topLeftCell="A1" showGridLines="0" zoomScale="90" workbookViewId="0">
      <selection activeCell="A1" sqref="A1"/>
    </sheetView>
  </sheetViews>
  <sheetFormatPr defaultColWidth="9.140625" customHeight="1" defaultRowHeight="14.25"/>
  <cols>
    <col min="1" max="1" style="2941" width="9.140625" hidden="1"/>
    <col min="2" max="2" style="3293" width="9.140625" hidden="1"/>
    <col min="3" max="3" style="2941" width="3.7109375" hidden="1" customWidth="1"/>
    <col min="4" max="4" style="3153" width="3.8515625" customWidth="1"/>
    <col min="5" max="5" style="2941" width="6.28125" customWidth="1"/>
    <col min="6" max="6" style="2941" width="27.28125" customWidth="1"/>
    <col min="7" max="7" style="2941" width="16.7109375" customWidth="1"/>
    <col min="8" max="8" style="2941" width="12.7109375" customWidth="1"/>
    <col min="9" max="9" style="2941" width="32.140625" customWidth="1"/>
    <col min="10" max="11" style="2941" width="41.8515625" customWidth="1"/>
    <col min="12" max="12" style="2941" width="89.57421875" customWidth="1"/>
    <col min="13" max="13" style="2665" width="3.7109375" customWidth="1"/>
    <col min="14" max="16" style="2665" width="9.140625"/>
    <col min="17" max="17" style="2631" width="25.7109375" customWidth="1"/>
    <col min="18" max="18" style="2665" width="14.421875" customWidth="1"/>
    <col min="19" max="22" style="2632" width="9.140625"/>
    <col min="23" max="256" style="2941" width="9.140625"/>
  </cols>
  <sheetData>
    <row customHeight="1" ht="14.25" hidden="1"/>
    <row s="2666" customFormat="1" customHeight="1" ht="22.5" hidden="1">
      <c r="A2" s="837"/>
      <c r="B2" s="1168">
        <v>1</v>
      </c>
      <c r="C2" s="1168"/>
      <c r="D2" s="807"/>
      <c r="E2" s="1514"/>
      <c r="F2" s="1569" t="str">
        <f>IF(ROIV_INFO_NAME="","",ROIV_INFO_NAME)</f>
        <v>МУП г. Азова "Теплоэнерго"</v>
      </c>
      <c r="G2" s="1772" t="s">
        <v>24</v>
      </c>
      <c r="H2" s="1568"/>
      <c r="I2" s="1568"/>
      <c r="J2" s="1172"/>
      <c r="K2" s="1172"/>
      <c r="L2" s="214"/>
      <c r="M2" s="1565">
        <f>MERGEVALUE(F2)</f>
      </c>
      <c r="N2" s="517"/>
      <c r="O2" s="517"/>
      <c r="P2" s="506" t="str">
        <f t="array" ref="P2:P2">IF(ISERROR(MATCH(MID(Q2,1,250),MID(note_ter,1,250),0)),"n","y")</f>
        <v>n</v>
      </c>
      <c r="Q2" s="517"/>
      <c r="R2" s="506" t="str">
        <f>G2&amp;"("&amp;L2&amp;")"</f>
        <v>()</v>
      </c>
      <c r="S2" s="1168"/>
      <c r="T2" s="1168"/>
      <c r="U2" s="426"/>
      <c r="V2" s="1168"/>
      <c r="W2" s="1168"/>
      <c r="X2" s="1168"/>
      <c r="Y2" s="428"/>
      <c r="Z2" s="428"/>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5"/>
      <c r="BU2" s="425"/>
      <c r="BV2" s="428"/>
      <c r="BW2" s="428"/>
      <c r="BX2" s="428"/>
      <c r="BY2" s="428"/>
      <c r="BZ2" s="428"/>
      <c r="CA2" s="428"/>
      <c r="CB2" s="428"/>
      <c r="CC2" s="428"/>
      <c r="CD2" s="428"/>
      <c r="CE2" s="428"/>
    </row>
    <row s="2612" customFormat="1" customHeight="1" ht="5.25" hidden="1">
      <c r="A3" s="502"/>
      <c r="D3" s="500"/>
      <c r="F3" s="233" t="s">
        <v>82</v>
      </c>
      <c r="G3" s="1775" t="s">
        <v>83</v>
      </c>
      <c r="H3" s="500"/>
      <c r="I3" s="500"/>
      <c r="J3" s="500"/>
      <c r="K3" s="500"/>
      <c r="L3" s="213" t="s">
        <v>84</v>
      </c>
      <c r="M3" s="233" t="s">
        <v>82</v>
      </c>
      <c r="N3" s="233"/>
      <c r="O3" s="233"/>
      <c r="P3" s="233"/>
      <c r="Q3" s="234"/>
      <c r="R3" s="233"/>
      <c r="S3" s="233"/>
      <c r="T3" s="233"/>
      <c r="U3" s="233"/>
      <c r="V3" s="233"/>
      <c r="W3" s="213"/>
      <c r="X3" s="213"/>
      <c r="Y3" s="213"/>
      <c r="Z3" s="213"/>
      <c r="AA3" s="213"/>
      <c r="AB3" s="213"/>
      <c r="AC3" s="213"/>
      <c r="AD3" s="213"/>
      <c r="AE3" s="213"/>
      <c r="AF3" s="213"/>
      <c r="AG3" s="213"/>
      <c r="AH3" s="213"/>
      <c r="AI3" s="213"/>
      <c r="AJ3" s="213"/>
      <c r="AK3" s="213"/>
      <c r="AL3" s="213"/>
      <c r="AM3" s="213"/>
      <c r="AN3" s="213"/>
      <c r="AO3" s="213"/>
      <c r="AP3" s="213"/>
      <c r="AQ3" s="213"/>
      <c r="AR3" s="213"/>
      <c r="AS3" s="213"/>
      <c r="AT3" s="213"/>
      <c r="AU3" s="213"/>
      <c r="AV3" s="213"/>
      <c r="AW3" s="213"/>
      <c r="AX3" s="213"/>
      <c r="AY3" s="213"/>
      <c r="AZ3" s="213"/>
      <c r="BA3" s="213"/>
      <c r="BB3" s="213"/>
      <c r="BC3" s="213"/>
      <c r="BD3" s="213"/>
      <c r="BE3" s="213"/>
      <c r="BF3" s="213"/>
      <c r="BG3" s="213"/>
      <c r="BH3" s="213"/>
      <c r="BI3" s="213"/>
      <c r="BJ3" s="213"/>
      <c r="BK3" s="213"/>
      <c r="BL3" s="213"/>
      <c r="BM3" s="213"/>
      <c r="BN3" s="213"/>
      <c r="BO3" s="213"/>
      <c r="BP3" s="213"/>
      <c r="BQ3" s="213"/>
      <c r="BR3" s="213"/>
      <c r="BS3" s="213"/>
      <c r="BT3" s="213"/>
      <c r="BU3" s="213"/>
      <c r="BV3" s="213"/>
      <c r="BW3" s="213"/>
      <c r="BX3" s="213"/>
      <c r="BY3" s="213"/>
      <c r="BZ3" s="213"/>
      <c r="CA3" s="213"/>
      <c r="CB3" s="213"/>
      <c r="CC3" s="213"/>
      <c r="CD3" s="213"/>
      <c r="CE3" s="213"/>
      <c r="CF3" s="213"/>
      <c r="CG3" s="213"/>
      <c r="CH3" s="213"/>
      <c r="CI3" s="213"/>
      <c r="CJ3" s="213"/>
      <c r="CK3" s="213"/>
      <c r="CL3" s="213"/>
      <c r="CM3" s="213"/>
      <c r="CN3" s="213"/>
      <c r="CO3" s="213"/>
      <c r="CP3" s="213"/>
      <c r="CQ3" s="213"/>
      <c r="CR3" s="213"/>
      <c r="CS3" s="213"/>
      <c r="CT3" s="213"/>
      <c r="CU3" s="213"/>
      <c r="CV3" s="213"/>
      <c r="CW3" s="213"/>
      <c r="CX3" s="213"/>
      <c r="CY3" s="213"/>
      <c r="CZ3" s="213"/>
      <c r="DA3" s="213"/>
      <c r="DB3" s="213"/>
      <c r="DC3" s="213"/>
      <c r="DD3" s="213"/>
      <c r="DE3" s="213"/>
      <c r="DF3" s="213"/>
      <c r="DG3" s="213"/>
      <c r="DH3" s="213"/>
      <c r="DI3" s="213"/>
      <c r="DJ3" s="213"/>
      <c r="DK3" s="213"/>
      <c r="DL3" s="213"/>
      <c r="DM3" s="213"/>
      <c r="DN3" s="213"/>
      <c r="DO3" s="213"/>
      <c r="DP3" s="213"/>
      <c r="DQ3" s="213"/>
      <c r="DR3" s="213"/>
      <c r="DS3" s="213"/>
      <c r="DT3" s="213"/>
      <c r="DU3" s="213"/>
      <c r="DV3" s="213"/>
      <c r="DW3" s="213"/>
      <c r="DX3" s="213"/>
      <c r="DY3" s="213"/>
      <c r="DZ3" s="213"/>
      <c r="EA3" s="213"/>
      <c r="EB3" s="213"/>
      <c r="EC3" s="213"/>
      <c r="ED3" s="213"/>
      <c r="EE3" s="213"/>
      <c r="EF3" s="213"/>
      <c r="EG3" s="213"/>
      <c r="EH3" s="213"/>
      <c r="EI3" s="213"/>
      <c r="EJ3" s="213"/>
      <c r="EK3" s="213"/>
      <c r="EL3" s="213"/>
      <c r="EM3" s="213"/>
      <c r="EN3" s="213"/>
      <c r="EO3" s="213"/>
      <c r="EP3" s="213"/>
      <c r="EQ3" s="213"/>
      <c r="ER3" s="213"/>
      <c r="ES3" s="213"/>
      <c r="ET3" s="213"/>
      <c r="EU3" s="213"/>
      <c r="EV3" s="213"/>
      <c r="EW3" s="213"/>
      <c r="EX3" s="213"/>
      <c r="EY3" s="213"/>
      <c r="EZ3" s="213"/>
      <c r="FA3" s="213"/>
      <c r="FB3" s="213"/>
      <c r="FC3" s="213"/>
      <c r="FD3" s="213"/>
      <c r="FE3" s="213"/>
      <c r="FF3" s="213"/>
      <c r="FG3" s="213"/>
      <c r="FH3" s="213"/>
      <c r="FI3" s="213"/>
      <c r="FJ3" s="213"/>
      <c r="FK3" s="213"/>
      <c r="FL3" s="213"/>
      <c r="FM3" s="213"/>
      <c r="FN3" s="213"/>
      <c r="FO3" s="213"/>
      <c r="FP3" s="213"/>
      <c r="FQ3" s="213"/>
      <c r="FR3" s="213"/>
      <c r="FS3" s="213"/>
      <c r="FT3" s="213"/>
      <c r="FU3" s="213"/>
      <c r="FV3" s="213"/>
      <c r="FW3" s="213"/>
      <c r="FX3" s="213"/>
      <c r="FY3" s="213"/>
      <c r="FZ3" s="213"/>
      <c r="GA3" s="213"/>
      <c r="GB3" s="213"/>
      <c r="GC3" s="213"/>
      <c r="GD3" s="213"/>
      <c r="GE3" s="213"/>
      <c r="GF3" s="213"/>
      <c r="GG3" s="213"/>
      <c r="GH3" s="213"/>
      <c r="GI3" s="213"/>
      <c r="GJ3" s="213"/>
      <c r="GK3" s="213"/>
      <c r="GL3" s="213"/>
      <c r="GM3" s="213"/>
      <c r="GN3" s="213"/>
      <c r="GO3" s="213"/>
      <c r="GP3" s="213"/>
      <c r="GQ3" s="213"/>
      <c r="GR3" s="213"/>
      <c r="GS3" s="213"/>
      <c r="GT3" s="213"/>
      <c r="GU3" s="213"/>
      <c r="GV3" s="213"/>
      <c r="GW3" s="213"/>
      <c r="GX3" s="213"/>
      <c r="GY3" s="213"/>
      <c r="GZ3" s="213"/>
      <c r="HA3" s="213"/>
      <c r="HB3" s="213"/>
      <c r="HC3" s="213"/>
      <c r="HD3" s="213"/>
      <c r="HE3" s="213"/>
      <c r="HF3" s="213"/>
      <c r="HG3" s="213"/>
      <c r="HH3" s="213"/>
      <c r="HI3" s="213"/>
      <c r="HJ3" s="213"/>
      <c r="HK3" s="213"/>
      <c r="HL3" s="213"/>
      <c r="HM3" s="213"/>
      <c r="HN3" s="213"/>
      <c r="HO3" s="213"/>
      <c r="HP3" s="213"/>
      <c r="HQ3" s="213"/>
      <c r="HR3" s="213"/>
      <c r="HS3" s="213"/>
      <c r="HT3" s="213"/>
      <c r="HU3" s="213"/>
      <c r="HV3" s="213"/>
      <c r="HW3" s="213"/>
      <c r="HX3" s="213"/>
      <c r="HY3" s="213"/>
      <c r="HZ3" s="213"/>
      <c r="IA3" s="213"/>
      <c r="IB3" s="213"/>
      <c r="IC3" s="213"/>
      <c r="ID3" s="213"/>
      <c r="IE3" s="213"/>
      <c r="IF3" s="213"/>
      <c r="IG3" s="213"/>
      <c r="IH3" s="213"/>
      <c r="II3" s="213"/>
      <c r="IJ3" s="213"/>
      <c r="IK3" s="213"/>
      <c r="IL3" s="213"/>
      <c r="IM3" s="213"/>
      <c r="IN3" s="213"/>
      <c r="IO3" s="213"/>
      <c r="IP3" s="213"/>
      <c r="IQ3" s="213"/>
      <c r="IR3" s="213"/>
      <c r="IS3" s="213"/>
      <c r="IT3" s="213"/>
      <c r="IU3" s="213"/>
      <c r="IV3" s="213"/>
    </row>
    <row s="2657" customFormat="1" customHeight="1" ht="14.25">
      <c r="A4" s="1163"/>
      <c r="B4" s="1168"/>
      <c r="C4" s="1163"/>
      <c r="D4" s="1525"/>
      <c r="E4" s="515"/>
      <c r="F4" s="515"/>
      <c r="G4" s="515"/>
      <c r="H4" s="515"/>
      <c r="I4" s="515"/>
      <c r="J4" s="515"/>
      <c r="K4" s="515"/>
      <c r="L4" s="152"/>
      <c r="M4" s="233"/>
      <c r="N4" s="506"/>
      <c r="O4" s="506"/>
      <c r="P4" s="506"/>
      <c r="Q4" s="212"/>
      <c r="R4" s="506"/>
      <c r="S4" s="211"/>
      <c r="T4" s="211"/>
      <c r="U4" s="211"/>
      <c r="V4" s="211"/>
    </row>
    <row s="2657" customFormat="1" customHeight="1" ht="25.5">
      <c r="A5" s="1163"/>
      <c r="B5" s="1168"/>
      <c r="C5" s="1163"/>
      <c r="D5" s="1525"/>
      <c r="E5" s="1954" t="str">
        <f>"Форма 3. Информация о рассмотрении дел об установлении тарифов в сфере "&amp;TEMPLATE_SPHERE_RUS</f>
        <v>Форма 3. Информация о рассмотрении дел об установлении тарифов в сфере теплоснабжения</v>
      </c>
      <c r="F5" s="1954"/>
      <c r="G5" s="1954"/>
      <c r="H5" s="1954"/>
      <c r="I5" s="1954"/>
      <c r="J5" s="1954"/>
      <c r="K5" s="1954"/>
      <c r="L5" s="594"/>
      <c r="M5" s="233"/>
      <c r="N5" s="506"/>
      <c r="O5" s="506"/>
      <c r="P5" s="506"/>
      <c r="Q5" s="212"/>
      <c r="R5" s="506"/>
      <c r="S5" s="211"/>
      <c r="T5" s="211"/>
      <c r="U5" s="211"/>
      <c r="V5" s="211"/>
    </row>
    <row s="2657" customFormat="1" customHeight="1" ht="14.25">
      <c r="A6" s="1163"/>
      <c r="B6" s="1168"/>
      <c r="C6" s="1163"/>
      <c r="D6" s="1525"/>
      <c r="E6" s="515"/>
      <c r="F6" s="153"/>
      <c r="G6" s="153"/>
      <c r="H6" s="153"/>
      <c r="I6" s="153"/>
      <c r="J6" s="153"/>
      <c r="K6" s="153"/>
      <c r="L6" s="154"/>
      <c r="M6" s="506"/>
      <c r="N6" s="506"/>
      <c r="O6" s="506"/>
      <c r="P6" s="506"/>
      <c r="Q6" s="212"/>
      <c r="R6" s="506"/>
      <c r="S6" s="211"/>
      <c r="T6" s="211"/>
      <c r="U6" s="211"/>
      <c r="V6" s="211"/>
    </row>
    <row s="2657" customFormat="1" customHeight="1" ht="14.25">
      <c r="A7" s="1163"/>
      <c r="B7" s="1168"/>
      <c r="C7" s="1163"/>
      <c r="D7" s="1525"/>
      <c r="E7" s="1955" t="s">
        <v>291</v>
      </c>
      <c r="F7" s="1956"/>
      <c r="G7" s="1956"/>
      <c r="H7" s="1956"/>
      <c r="I7" s="1956"/>
      <c r="J7" s="1956"/>
      <c r="K7" s="1956"/>
      <c r="L7" s="2321" t="s">
        <v>292</v>
      </c>
      <c r="M7" s="506"/>
      <c r="N7" s="506"/>
      <c r="O7" s="506"/>
      <c r="P7" s="506"/>
      <c r="Q7" s="212"/>
      <c r="R7" s="506"/>
      <c r="S7" s="211"/>
      <c r="T7" s="211"/>
      <c r="U7" s="211"/>
      <c r="V7" s="211"/>
    </row>
    <row s="2657" customFormat="1" customHeight="1" ht="47.25">
      <c r="A8" s="1163"/>
      <c r="B8" s="1168"/>
      <c r="C8" s="1163"/>
      <c r="D8" s="1525"/>
      <c r="E8" s="2326" t="s">
        <v>87</v>
      </c>
      <c r="F8" s="2326" t="s">
        <v>1093</v>
      </c>
      <c r="G8" s="2328" t="str">
        <f>"Заседание правления (коллегии органа регулирования тарифов, на котором планируется рассмотрение дела об установлении тарифов в сфере "&amp;TEMPLATE_SPHERE_RUS</f>
        <v>Заседание правления (коллегии органа регулирования тарифов, на котором планируется рассмотрение дела об установлении тарифов в сфере теплоснабжения</v>
      </c>
      <c r="H8" s="2329"/>
      <c r="I8" s="2330"/>
      <c r="J8" s="2326" t="str">
        <f>"Принятые органом регулирования тарифов решения об установлении тарифов в сфере "&amp;TEMPLATE_SPHERE_RUS</f>
        <v>Принятые органом регулирования тарифов решения об установлении тарифов в сфере теплоснабжения</v>
      </c>
      <c r="K8" s="2326" t="str">
        <f>"Протокол заседания правления (коллегии) органа регулирования тарифов, оформленный в соответствии с требованиями"&amp;IF(TEMPLATE_SPHERE="HEAT"," законодательства Российской Федерации",IF(TEMPLATE_SPHERE="TKO",", установленными правилами регулирования тарифов в сфере обращения с твердыми коммунальными отходами, утвержденными Правительством Российской Федерации",",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 ""О государственном регулировании тарифов в сфере водоснабжения и водоотведения"""))</f>
        <v>Протокол заседания правления (коллегии) органа регулирования тарифов, оформленный в соответствии с требованиями законодательства Российской Федерации</v>
      </c>
      <c r="L8" s="2325"/>
      <c r="M8" s="506"/>
      <c r="N8" s="506"/>
      <c r="O8" s="506"/>
      <c r="P8" s="506"/>
      <c r="Q8" s="212"/>
      <c r="R8" s="506"/>
      <c r="S8" s="211"/>
      <c r="T8" s="211"/>
      <c r="U8" s="211"/>
      <c r="V8" s="211"/>
    </row>
    <row s="2657" customFormat="1" customHeight="1" ht="56.25">
      <c r="A9" s="1163"/>
      <c r="B9" s="1168"/>
      <c r="C9" s="1163"/>
      <c r="D9" s="1525"/>
      <c r="E9" s="2327"/>
      <c r="F9" s="2327"/>
      <c r="G9" s="1567" t="s">
        <v>1115</v>
      </c>
      <c r="H9" s="1567" t="s">
        <v>1116</v>
      </c>
      <c r="I9" s="1567" t="s">
        <v>1117</v>
      </c>
      <c r="J9" s="2327"/>
      <c r="K9" s="2327"/>
      <c r="L9" s="2322"/>
      <c r="M9" s="506"/>
      <c r="N9" s="506"/>
      <c r="O9" s="506"/>
      <c r="P9" s="506"/>
      <c r="Q9" s="212"/>
      <c r="R9" s="506"/>
      <c r="S9" s="211"/>
      <c r="T9" s="211"/>
      <c r="U9" s="211"/>
      <c r="V9" s="211"/>
    </row>
    <row s="2666" customFormat="1" customHeight="1" ht="22.5">
      <c r="A10" s="1953"/>
      <c r="B10" s="1168">
        <v>1</v>
      </c>
      <c r="C10" s="1168"/>
      <c r="D10" s="806"/>
      <c r="E10" s="804">
        <v>1</v>
      </c>
      <c r="F10" s="1569" t="str">
        <f>IF(ROIV_INFO_NAME="","",ROIV_INFO_NAME)</f>
        <v>МУП г. Азова "Теплоэнерго"</v>
      </c>
      <c r="G10" s="1772" t="s">
        <v>24</v>
      </c>
      <c r="H10" s="1564"/>
      <c r="I10" s="1564"/>
      <c r="J10" s="1172"/>
      <c r="K10" s="1172"/>
      <c r="L10" s="2323" t="s">
        <v>1118</v>
      </c>
      <c r="M10" s="1565">
        <f>MERGEVALUE(F10)</f>
      </c>
      <c r="N10" s="517"/>
      <c r="O10" s="517"/>
      <c r="P10" s="506" t="str">
        <f t="array" ref="P10:P10">IF(ISERROR(MATCH(MID(Q10,1,250),MID(note_ter,1,250),0)),"n","y")</f>
        <v>n</v>
      </c>
      <c r="Q10" s="517"/>
      <c r="R10" s="506"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 и «Протокол заседания…» указываются ссылка на документ, предварительно загруженный в хранилище файлов ФГИС ЕИАС.)</v>
      </c>
      <c r="S10" s="1168"/>
      <c r="T10" s="1168"/>
      <c r="U10" s="426"/>
      <c r="V10" s="1168"/>
      <c r="W10" s="1168"/>
      <c r="X10" s="1168"/>
      <c r="Y10" s="428"/>
      <c r="Z10" s="428"/>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5"/>
      <c r="BU10" s="425"/>
      <c r="BV10" s="428"/>
      <c r="BW10" s="428"/>
      <c r="BX10" s="428"/>
      <c r="BY10" s="428"/>
      <c r="BZ10" s="428"/>
      <c r="CA10" s="428"/>
      <c r="CB10" s="428"/>
      <c r="CC10" s="428"/>
      <c r="CD10" s="428"/>
      <c r="CE10" s="428"/>
    </row>
    <row s="2666" customFormat="1" customHeight="1" ht="15">
      <c r="A11" s="1953"/>
      <c r="B11" s="1168"/>
      <c r="C11" s="418"/>
      <c r="D11" s="807"/>
      <c r="E11" s="427"/>
      <c r="F11" s="422" t="s">
        <v>1119</v>
      </c>
      <c r="G11" s="173"/>
      <c r="H11" s="173"/>
      <c r="I11" s="173"/>
      <c r="J11" s="173"/>
      <c r="K11" s="173"/>
      <c r="L11" s="2324"/>
      <c r="M11" s="1566"/>
      <c r="N11" s="517"/>
      <c r="O11" s="517"/>
      <c r="P11" s="517"/>
      <c r="Q11" s="506"/>
      <c r="R11" s="517"/>
      <c r="S11" s="1168"/>
      <c r="T11" s="1168"/>
      <c r="U11" s="426"/>
      <c r="V11" s="1168"/>
      <c r="W11" s="1168"/>
      <c r="X11" s="1168"/>
      <c r="Y11" s="428"/>
      <c r="Z11" s="428"/>
      <c r="AA11" s="425"/>
      <c r="AB11" s="425"/>
      <c r="AC11" s="425"/>
      <c r="AD11" s="425"/>
      <c r="AE11" s="425"/>
      <c r="AF11" s="425"/>
      <c r="AG11" s="425"/>
      <c r="AH11" s="425"/>
      <c r="AI11" s="425"/>
      <c r="AJ11" s="425"/>
      <c r="AK11" s="425"/>
      <c r="AL11" s="425"/>
      <c r="AM11" s="425"/>
      <c r="AN11" s="425"/>
      <c r="AO11" s="425"/>
      <c r="AP11" s="425"/>
      <c r="AQ11" s="425"/>
      <c r="AR11" s="425"/>
      <c r="AS11" s="425"/>
      <c r="AT11" s="425"/>
      <c r="AU11" s="425"/>
      <c r="AV11" s="425"/>
      <c r="AW11" s="425"/>
      <c r="AX11" s="425"/>
      <c r="AY11" s="425"/>
      <c r="AZ11" s="425"/>
      <c r="BA11" s="425"/>
      <c r="BB11" s="425"/>
      <c r="BC11" s="425"/>
      <c r="BD11" s="425"/>
      <c r="BE11" s="425"/>
      <c r="BF11" s="425"/>
      <c r="BG11" s="425"/>
      <c r="BH11" s="425"/>
      <c r="BI11" s="425"/>
      <c r="BJ11" s="425"/>
      <c r="BK11" s="425"/>
      <c r="BL11" s="425"/>
      <c r="BM11" s="425"/>
      <c r="BN11" s="425"/>
      <c r="BO11" s="425"/>
      <c r="BP11" s="425"/>
      <c r="BQ11" s="425"/>
      <c r="BR11" s="425"/>
      <c r="BS11" s="425"/>
      <c r="BT11" s="425"/>
      <c r="BU11" s="425"/>
      <c r="BV11" s="428"/>
      <c r="BW11" s="428"/>
      <c r="BX11" s="428"/>
      <c r="BY11" s="428"/>
      <c r="BZ11" s="428"/>
      <c r="CA11" s="428"/>
      <c r="CB11" s="428"/>
      <c r="CC11" s="428"/>
      <c r="CD11" s="428"/>
      <c r="CE11" s="428"/>
    </row>
    <row s="2657" customFormat="1" customHeight="1" ht="21">
      <c r="A12" s="1163"/>
      <c r="B12" s="1168"/>
      <c r="C12" s="1163"/>
      <c r="D12" s="457"/>
      <c r="E12" s="166"/>
      <c r="F12" s="166"/>
      <c r="G12" s="166"/>
      <c r="H12" s="166"/>
      <c r="I12" s="166"/>
      <c r="J12" s="166"/>
      <c r="K12" s="166"/>
      <c r="L12" s="166"/>
      <c r="M12" s="506"/>
      <c r="N12" s="506"/>
      <c r="O12" s="506"/>
      <c r="P12" s="506"/>
      <c r="Q12" s="212"/>
      <c r="R12" s="506"/>
      <c r="S12" s="211"/>
      <c r="T12" s="211"/>
      <c r="U12" s="211"/>
      <c r="V12" s="211"/>
    </row>
    <row s="2657" customFormat="1" customHeight="1" ht="14.25">
      <c r="A13" s="1163"/>
      <c r="B13" s="1168"/>
      <c r="C13" s="1163"/>
      <c r="D13" s="457"/>
      <c r="E13" s="1163"/>
      <c r="F13" s="1163"/>
      <c r="G13" s="1163"/>
      <c r="H13" s="1163"/>
      <c r="I13" s="1163"/>
      <c r="J13" s="1163"/>
      <c r="K13" s="1163"/>
      <c r="L13" s="1163"/>
      <c r="M13" s="506"/>
      <c r="N13" s="506"/>
      <c r="O13" s="506"/>
      <c r="P13" s="506"/>
      <c r="Q13" s="212"/>
      <c r="R13" s="506"/>
      <c r="S13" s="211"/>
      <c r="T13" s="211"/>
      <c r="U13" s="211"/>
      <c r="V13" s="211"/>
    </row>
    <row s="2657" customFormat="1" customHeight="1" ht="0.75">
      <c r="A14" s="1163"/>
      <c r="B14" s="1168"/>
      <c r="C14" s="1163"/>
      <c r="D14" s="457"/>
      <c r="E14" s="1163"/>
      <c r="F14" s="1163"/>
      <c r="G14" s="1163"/>
      <c r="H14" s="1163"/>
      <c r="I14" s="1163"/>
      <c r="J14" s="1163"/>
      <c r="K14" s="1163"/>
      <c r="L14" s="1163"/>
      <c r="M14" s="506"/>
      <c r="N14" s="506"/>
      <c r="O14" s="506"/>
      <c r="P14" s="506"/>
      <c r="Q14" s="212"/>
      <c r="R14" s="506"/>
      <c r="S14" s="211"/>
      <c r="T14" s="211"/>
      <c r="U14" s="211"/>
      <c r="V14" s="211"/>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2:I3 H10:I10">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519538-77C4-5336-D6AB-7DBE9AC748A8}" mc:Ignorable="x14ac xr xr2 xr3">
  <dimension ref="A1:IY16"/>
  <sheetViews>
    <sheetView topLeftCell="A1" showGridLines="0" zoomScale="90" workbookViewId="0">
      <selection activeCell="A1" sqref="A1"/>
    </sheetView>
  </sheetViews>
  <sheetFormatPr defaultColWidth="9.140625" customHeight="1" defaultRowHeight="14.25"/>
  <cols>
    <col min="1" max="1" style="2941" width="9.140625" hidden="1"/>
    <col min="2" max="2" style="3293" width="9.140625" hidden="1"/>
    <col min="3" max="3" style="2941" width="3.7109375" hidden="1" customWidth="1"/>
    <col min="4" max="4" style="3153" width="3.8515625" customWidth="1"/>
    <col min="5" max="5" style="2941" width="10.140625" customWidth="1"/>
    <col min="6" max="6" style="2941" width="6.28125" customWidth="1"/>
    <col min="7" max="7" style="2941" width="27.28125" customWidth="1"/>
    <col min="8" max="8" style="2941" width="29.28125" customWidth="1"/>
    <col min="9" max="9" style="2941" width="25.421875" customWidth="1"/>
    <col min="10" max="10" style="2941" width="5.57421875" customWidth="1"/>
    <col min="11" max="11" style="2941" width="6.57421875" customWidth="1"/>
    <col min="12" max="12" style="2941" width="41.8515625" customWidth="1"/>
    <col min="13" max="13" style="2941" width="42.421875" customWidth="1"/>
    <col min="14" max="14" style="2941" width="41.57421875" customWidth="1"/>
    <col min="15" max="15" style="2941" width="64.140625" customWidth="1"/>
    <col min="16" max="16" style="2665" width="3.7109375" customWidth="1"/>
    <col min="17" max="19" style="2665" width="9.140625"/>
    <col min="20" max="20" style="2631" width="25.7109375" customWidth="1"/>
    <col min="21" max="21" style="2665" width="14.421875" customWidth="1"/>
    <col min="22" max="25" style="2632" width="9.140625"/>
    <col min="26" max="259" style="2941" width="9.140625"/>
  </cols>
  <sheetData>
    <row customHeight="1" ht="14.25" hidden="1"/>
    <row s="2666" customFormat="1" customHeight="1" ht="22.5" hidden="1">
      <c r="A2" s="502"/>
      <c r="B2" s="1168">
        <v>1</v>
      </c>
      <c r="C2" s="1168"/>
      <c r="D2" s="807"/>
      <c r="E2" s="1971"/>
      <c r="F2" s="1971">
        <v>1</v>
      </c>
      <c r="G2" s="2331" t="str">
        <f>IF(region_name="","",region_name)</f>
        <v>Ростовская область</v>
      </c>
      <c r="H2" s="2332"/>
      <c r="I2" s="2333"/>
      <c r="J2" s="480"/>
      <c r="K2" s="1514">
        <v>1</v>
      </c>
      <c r="L2" s="1172"/>
      <c r="M2" s="1172"/>
      <c r="N2" s="1172"/>
      <c r="O2" s="1172"/>
      <c r="P2" s="1565">
        <f>MERGEVALUE(G2)</f>
      </c>
      <c r="Q2" s="517"/>
      <c r="R2" s="517"/>
      <c r="S2" s="506" t="str">
        <f t="array" ref="S2:S2">IF(ISERROR(MATCH(MID(T2,1,250),MID(note_ter,1,250),0)),"n","y")</f>
        <v>n</v>
      </c>
      <c r="T2" s="517"/>
      <c r="U2" s="506"/>
      <c r="V2" s="1168"/>
      <c r="W2" s="1168"/>
      <c r="X2" s="426"/>
      <c r="Y2" s="1168"/>
      <c r="Z2" s="1168"/>
      <c r="AA2" s="1168"/>
      <c r="AB2" s="428"/>
      <c r="AC2" s="428"/>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5"/>
      <c r="BU2" s="425"/>
      <c r="BV2" s="425"/>
      <c r="BW2" s="425"/>
      <c r="BX2" s="425"/>
      <c r="BY2" s="428"/>
      <c r="BZ2" s="428"/>
      <c r="CA2" s="428"/>
      <c r="CB2" s="428"/>
      <c r="CC2" s="428"/>
      <c r="CD2" s="428"/>
      <c r="CE2" s="428"/>
      <c r="CF2" s="428"/>
      <c r="CG2" s="428"/>
      <c r="CH2" s="428"/>
    </row>
    <row s="2666" customFormat="1" customHeight="1" ht="22.5" hidden="1">
      <c r="A3" s="837"/>
      <c r="B3" s="1168"/>
      <c r="C3" s="1168"/>
      <c r="D3" s="807"/>
      <c r="E3" s="1971"/>
      <c r="F3" s="1971"/>
      <c r="G3" s="2331"/>
      <c r="H3" s="2332"/>
      <c r="I3" s="2334"/>
      <c r="J3" s="1574"/>
      <c r="K3" s="1530"/>
      <c r="L3" s="1530" t="s">
        <v>1120</v>
      </c>
      <c r="M3" s="1577"/>
      <c r="N3" s="1577"/>
      <c r="O3" s="1578"/>
      <c r="P3" s="1565"/>
      <c r="Q3" s="517"/>
      <c r="R3" s="517"/>
      <c r="S3" s="506"/>
      <c r="T3" s="517"/>
      <c r="U3" s="506"/>
      <c r="V3" s="1168"/>
      <c r="W3" s="1168"/>
      <c r="X3" s="426"/>
      <c r="Y3" s="1168"/>
      <c r="Z3" s="1168"/>
      <c r="AA3" s="1168"/>
      <c r="AB3" s="428"/>
      <c r="AC3" s="428"/>
      <c r="AD3" s="425"/>
      <c r="AE3" s="425"/>
      <c r="AF3" s="425"/>
      <c r="AG3" s="425"/>
      <c r="AH3" s="425"/>
      <c r="AI3" s="425"/>
      <c r="AJ3" s="425"/>
      <c r="AK3" s="425"/>
      <c r="AL3" s="425"/>
      <c r="AM3" s="425"/>
      <c r="AN3" s="425"/>
      <c r="AO3" s="425"/>
      <c r="AP3" s="425"/>
      <c r="AQ3" s="425"/>
      <c r="AR3" s="425"/>
      <c r="AS3" s="425"/>
      <c r="AT3" s="425"/>
      <c r="AU3" s="425"/>
      <c r="AV3" s="425"/>
      <c r="AW3" s="425"/>
      <c r="AX3" s="425"/>
      <c r="AY3" s="425"/>
      <c r="AZ3" s="425"/>
      <c r="BA3" s="425"/>
      <c r="BB3" s="425"/>
      <c r="BC3" s="425"/>
      <c r="BD3" s="425"/>
      <c r="BE3" s="425"/>
      <c r="BF3" s="425"/>
      <c r="BG3" s="425"/>
      <c r="BH3" s="425"/>
      <c r="BI3" s="425"/>
      <c r="BJ3" s="425"/>
      <c r="BK3" s="425"/>
      <c r="BL3" s="425"/>
      <c r="BM3" s="425"/>
      <c r="BN3" s="425"/>
      <c r="BO3" s="425"/>
      <c r="BP3" s="425"/>
      <c r="BQ3" s="425"/>
      <c r="BR3" s="425"/>
      <c r="BS3" s="425"/>
      <c r="BT3" s="425"/>
      <c r="BU3" s="425"/>
      <c r="BV3" s="425"/>
      <c r="BW3" s="425"/>
      <c r="BX3" s="425"/>
      <c r="BY3" s="428"/>
      <c r="BZ3" s="428"/>
      <c r="CA3" s="428"/>
      <c r="CB3" s="428"/>
      <c r="CC3" s="428"/>
      <c r="CD3" s="428"/>
      <c r="CE3" s="428"/>
      <c r="CF3" s="428"/>
      <c r="CG3" s="428"/>
      <c r="CH3" s="428"/>
    </row>
    <row s="2612" customFormat="1" customHeight="1" ht="5.25" hidden="1">
      <c r="A4" s="502"/>
      <c r="D4" s="500"/>
      <c r="G4" s="233" t="s">
        <v>82</v>
      </c>
      <c r="H4" s="500" t="s">
        <v>83</v>
      </c>
      <c r="I4" s="500"/>
      <c r="J4" s="1579"/>
      <c r="K4" s="1579"/>
      <c r="L4" s="1579"/>
      <c r="M4" s="1579"/>
      <c r="N4" s="1579"/>
      <c r="O4" s="1579"/>
      <c r="P4" s="233" t="s">
        <v>82</v>
      </c>
      <c r="Q4" s="233"/>
      <c r="R4" s="233"/>
      <c r="S4" s="233"/>
      <c r="T4" s="234"/>
      <c r="U4" s="233"/>
      <c r="V4" s="233"/>
      <c r="W4" s="233"/>
      <c r="X4" s="233"/>
      <c r="Y4" s="233"/>
      <c r="Z4" s="213"/>
      <c r="AA4" s="213"/>
      <c r="AB4" s="213"/>
      <c r="AC4" s="213"/>
      <c r="AD4" s="213"/>
      <c r="AE4" s="213"/>
      <c r="AF4" s="213"/>
      <c r="AG4" s="213"/>
      <c r="AH4" s="213"/>
      <c r="AI4" s="213"/>
      <c r="AJ4" s="213"/>
      <c r="AK4" s="213"/>
      <c r="AL4" s="213"/>
      <c r="AM4" s="213"/>
      <c r="AN4" s="213"/>
      <c r="AO4" s="213"/>
      <c r="AP4" s="213"/>
      <c r="AQ4" s="213"/>
      <c r="AR4" s="213"/>
      <c r="AS4" s="213"/>
      <c r="AT4" s="213"/>
      <c r="AU4" s="213"/>
      <c r="AV4" s="213"/>
      <c r="AW4" s="213"/>
      <c r="AX4" s="213"/>
      <c r="AY4" s="213"/>
      <c r="AZ4" s="213"/>
      <c r="BA4" s="213"/>
      <c r="BB4" s="213"/>
      <c r="BC4" s="213"/>
      <c r="BD4" s="213"/>
      <c r="BE4" s="213"/>
      <c r="BF4" s="213"/>
      <c r="BG4" s="213"/>
      <c r="BH4" s="213"/>
      <c r="BI4" s="213"/>
      <c r="BJ4" s="213"/>
      <c r="BK4" s="213"/>
      <c r="BL4" s="213"/>
      <c r="BM4" s="213"/>
      <c r="BN4" s="213"/>
      <c r="BO4" s="213"/>
      <c r="BP4" s="213"/>
      <c r="BQ4" s="213"/>
      <c r="BR4" s="213"/>
      <c r="BS4" s="213"/>
      <c r="BT4" s="213"/>
      <c r="BU4" s="213"/>
      <c r="BV4" s="213"/>
      <c r="BW4" s="213"/>
      <c r="BX4" s="213"/>
      <c r="BY4" s="213"/>
      <c r="BZ4" s="213"/>
      <c r="CA4" s="213"/>
      <c r="CB4" s="213"/>
      <c r="CC4" s="213"/>
      <c r="CD4" s="213"/>
      <c r="CE4" s="213"/>
      <c r="CF4" s="213"/>
      <c r="CG4" s="213"/>
      <c r="CH4" s="213"/>
      <c r="CI4" s="213"/>
      <c r="CJ4" s="213"/>
      <c r="CK4" s="213"/>
      <c r="CL4" s="213"/>
      <c r="CM4" s="213"/>
      <c r="CN4" s="213"/>
      <c r="CO4" s="213"/>
      <c r="CP4" s="213"/>
      <c r="CQ4" s="213"/>
      <c r="CR4" s="213"/>
      <c r="CS4" s="213"/>
      <c r="CT4" s="213"/>
      <c r="CU4" s="213"/>
      <c r="CV4" s="213"/>
      <c r="CW4" s="213"/>
      <c r="CX4" s="213"/>
      <c r="CY4" s="213"/>
      <c r="CZ4" s="213"/>
      <c r="DA4" s="213"/>
      <c r="DB4" s="213"/>
      <c r="DC4" s="213"/>
      <c r="DD4" s="213"/>
      <c r="DE4" s="213"/>
      <c r="DF4" s="213"/>
      <c r="DG4" s="213"/>
      <c r="DH4" s="213"/>
      <c r="DI4" s="213"/>
      <c r="DJ4" s="213"/>
      <c r="DK4" s="213"/>
      <c r="DL4" s="213"/>
      <c r="DM4" s="213"/>
      <c r="DN4" s="213"/>
      <c r="DO4" s="213"/>
      <c r="DP4" s="213"/>
      <c r="DQ4" s="213"/>
      <c r="DR4" s="213"/>
      <c r="DS4" s="213"/>
      <c r="DT4" s="213"/>
      <c r="DU4" s="213"/>
      <c r="DV4" s="213"/>
      <c r="DW4" s="213"/>
      <c r="DX4" s="213"/>
      <c r="DY4" s="213"/>
      <c r="DZ4" s="213"/>
      <c r="EA4" s="213"/>
      <c r="EB4" s="213"/>
      <c r="EC4" s="213"/>
      <c r="ED4" s="213"/>
      <c r="EE4" s="213"/>
      <c r="EF4" s="213"/>
      <c r="EG4" s="213"/>
      <c r="EH4" s="213"/>
      <c r="EI4" s="213"/>
      <c r="EJ4" s="213"/>
      <c r="EK4" s="213"/>
      <c r="EL4" s="213"/>
      <c r="EM4" s="213"/>
      <c r="EN4" s="213"/>
      <c r="EO4" s="213"/>
      <c r="EP4" s="213"/>
      <c r="EQ4" s="213"/>
      <c r="ER4" s="213"/>
      <c r="ES4" s="213"/>
      <c r="ET4" s="213"/>
      <c r="EU4" s="213"/>
      <c r="EV4" s="213"/>
      <c r="EW4" s="213"/>
      <c r="EX4" s="213"/>
      <c r="EY4" s="213"/>
      <c r="EZ4" s="213"/>
      <c r="FA4" s="213"/>
      <c r="FB4" s="213"/>
      <c r="FC4" s="213"/>
      <c r="FD4" s="213"/>
      <c r="FE4" s="213"/>
      <c r="FF4" s="213"/>
      <c r="FG4" s="213"/>
      <c r="FH4" s="213"/>
      <c r="FI4" s="213"/>
      <c r="FJ4" s="213"/>
      <c r="FK4" s="213"/>
      <c r="FL4" s="213"/>
      <c r="FM4" s="213"/>
      <c r="FN4" s="213"/>
      <c r="FO4" s="213"/>
      <c r="FP4" s="213"/>
      <c r="FQ4" s="213"/>
      <c r="FR4" s="213"/>
      <c r="FS4" s="213"/>
      <c r="FT4" s="213"/>
      <c r="FU4" s="213"/>
      <c r="FV4" s="213"/>
      <c r="FW4" s="213"/>
      <c r="FX4" s="213"/>
      <c r="FY4" s="213"/>
      <c r="FZ4" s="213"/>
      <c r="GA4" s="213"/>
      <c r="GB4" s="213"/>
      <c r="GC4" s="213"/>
      <c r="GD4" s="213"/>
      <c r="GE4" s="213"/>
      <c r="GF4" s="213"/>
      <c r="GG4" s="213"/>
      <c r="GH4" s="213"/>
      <c r="GI4" s="213"/>
      <c r="GJ4" s="213"/>
      <c r="GK4" s="213"/>
      <c r="GL4" s="213"/>
      <c r="GM4" s="213"/>
      <c r="GN4" s="213"/>
      <c r="GO4" s="213"/>
      <c r="GP4" s="213"/>
      <c r="GQ4" s="213"/>
      <c r="GR4" s="213"/>
      <c r="GS4" s="213"/>
      <c r="GT4" s="213"/>
      <c r="GU4" s="213"/>
      <c r="GV4" s="213"/>
      <c r="GW4" s="213"/>
      <c r="GX4" s="213"/>
      <c r="GY4" s="213"/>
      <c r="GZ4" s="213"/>
      <c r="HA4" s="213"/>
      <c r="HB4" s="213"/>
      <c r="HC4" s="213"/>
      <c r="HD4" s="213"/>
      <c r="HE4" s="213"/>
      <c r="HF4" s="213"/>
      <c r="HG4" s="213"/>
      <c r="HH4" s="213"/>
      <c r="HI4" s="213"/>
      <c r="HJ4" s="213"/>
      <c r="HK4" s="213"/>
      <c r="HL4" s="213"/>
      <c r="HM4" s="213"/>
      <c r="HN4" s="213"/>
      <c r="HO4" s="213"/>
      <c r="HP4" s="213"/>
      <c r="HQ4" s="213"/>
      <c r="HR4" s="213"/>
      <c r="HS4" s="213"/>
      <c r="HT4" s="213"/>
      <c r="HU4" s="213"/>
      <c r="HV4" s="213"/>
      <c r="HW4" s="213"/>
      <c r="HX4" s="213"/>
      <c r="HY4" s="213"/>
      <c r="HZ4" s="213"/>
      <c r="IA4" s="213"/>
      <c r="IB4" s="213"/>
      <c r="IC4" s="213"/>
      <c r="ID4" s="213"/>
      <c r="IE4" s="213"/>
      <c r="IF4" s="213"/>
      <c r="IG4" s="213"/>
      <c r="IH4" s="213"/>
      <c r="II4" s="213"/>
      <c r="IJ4" s="213"/>
      <c r="IK4" s="213"/>
      <c r="IL4" s="213"/>
      <c r="IM4" s="213"/>
      <c r="IN4" s="213"/>
      <c r="IO4" s="213"/>
      <c r="IP4" s="213"/>
      <c r="IQ4" s="213"/>
      <c r="IR4" s="213"/>
      <c r="IS4" s="213"/>
      <c r="IT4" s="213"/>
      <c r="IU4" s="213"/>
      <c r="IV4" s="213"/>
      <c r="IW4" s="213"/>
      <c r="IX4" s="213"/>
      <c r="IY4" s="213"/>
    </row>
    <row s="2657" customFormat="1" customHeight="1" ht="14.25">
      <c r="A5" s="1163"/>
      <c r="B5" s="1168"/>
      <c r="C5" s="1163"/>
      <c r="D5" s="1525"/>
      <c r="E5" s="515"/>
      <c r="F5" s="515"/>
      <c r="G5" s="515"/>
      <c r="H5" s="515"/>
      <c r="I5" s="515"/>
      <c r="J5" s="515"/>
      <c r="K5" s="515"/>
      <c r="L5" s="515"/>
      <c r="M5" s="515"/>
      <c r="N5" s="515"/>
      <c r="O5" s="515"/>
      <c r="P5" s="233"/>
      <c r="Q5" s="506"/>
      <c r="R5" s="506"/>
      <c r="S5" s="506"/>
      <c r="T5" s="212"/>
      <c r="U5" s="506"/>
      <c r="V5" s="211"/>
      <c r="W5" s="211"/>
      <c r="X5" s="211"/>
      <c r="Y5" s="211"/>
    </row>
    <row s="2657" customFormat="1" customHeight="1" ht="25.5">
      <c r="A6" s="1163"/>
      <c r="B6" s="1168"/>
      <c r="C6" s="1163"/>
      <c r="D6" s="1525"/>
      <c r="E6" s="1954" t="s">
        <v>1121</v>
      </c>
      <c r="F6" s="1954"/>
      <c r="G6" s="1954"/>
      <c r="H6" s="1954"/>
      <c r="I6" s="1954"/>
      <c r="J6" s="1954"/>
      <c r="K6" s="1954"/>
      <c r="L6" s="1954"/>
      <c r="M6" s="1954"/>
      <c r="N6" s="1954"/>
      <c r="O6" s="1954"/>
      <c r="P6" s="233"/>
      <c r="Q6" s="506"/>
      <c r="R6" s="506"/>
      <c r="S6" s="506"/>
      <c r="T6" s="212"/>
      <c r="U6" s="506"/>
      <c r="V6" s="211"/>
      <c r="W6" s="211"/>
      <c r="X6" s="211"/>
      <c r="Y6" s="211"/>
    </row>
    <row s="2657" customFormat="1" customHeight="1" ht="14.25">
      <c r="A7" s="1163"/>
      <c r="B7" s="1168"/>
      <c r="C7" s="1163"/>
      <c r="D7" s="1525"/>
      <c r="E7" s="515"/>
      <c r="F7" s="515"/>
      <c r="G7" s="153"/>
      <c r="H7" s="153"/>
      <c r="I7" s="153"/>
      <c r="J7" s="153"/>
      <c r="K7" s="153"/>
      <c r="L7" s="153"/>
      <c r="M7" s="153"/>
      <c r="N7" s="153"/>
      <c r="O7" s="153"/>
      <c r="P7" s="506"/>
      <c r="Q7" s="506"/>
      <c r="R7" s="506"/>
      <c r="S7" s="506"/>
      <c r="T7" s="212"/>
      <c r="U7" s="506"/>
      <c r="V7" s="211"/>
      <c r="W7" s="211"/>
      <c r="X7" s="211"/>
      <c r="Y7" s="211"/>
    </row>
    <row s="4772" customFormat="1" customHeight="1" ht="42.75">
      <c r="A8" s="1498"/>
      <c r="B8" s="1508"/>
      <c r="C8" s="1498"/>
      <c r="D8" s="1525"/>
      <c r="E8" s="1588" t="s">
        <v>292</v>
      </c>
      <c r="F8" s="1588"/>
      <c r="G8" s="1589" t="s">
        <v>296</v>
      </c>
      <c r="H8" s="1589" t="s">
        <v>1122</v>
      </c>
      <c r="I8" s="1589" t="s">
        <v>300</v>
      </c>
      <c r="J8" s="2338"/>
      <c r="K8" s="2339"/>
      <c r="L8" s="2340"/>
      <c r="M8" s="1589" t="s">
        <v>1123</v>
      </c>
      <c r="N8" s="1589" t="s">
        <v>1124</v>
      </c>
      <c r="O8" s="1589" t="s">
        <v>1125</v>
      </c>
      <c r="P8" s="1580"/>
      <c r="Q8" s="1580"/>
      <c r="R8" s="1580"/>
      <c r="S8" s="1580"/>
      <c r="T8" s="1581"/>
      <c r="U8" s="1580"/>
      <c r="V8" s="1582"/>
      <c r="W8" s="1582"/>
      <c r="X8" s="1582"/>
      <c r="Y8" s="1582"/>
    </row>
    <row s="2657" customFormat="1" customHeight="1" ht="47.25">
      <c r="A9" s="1163"/>
      <c r="B9" s="1168"/>
      <c r="C9" s="1163"/>
      <c r="D9" s="1525"/>
      <c r="E9" s="2090" t="s">
        <v>291</v>
      </c>
      <c r="F9" s="2327" t="s">
        <v>87</v>
      </c>
      <c r="G9" s="2327" t="s">
        <v>295</v>
      </c>
      <c r="H9" s="2327" t="s">
        <v>1126</v>
      </c>
      <c r="I9" s="2327"/>
      <c r="J9" s="2327" t="s">
        <v>1127</v>
      </c>
      <c r="K9" s="2327"/>
      <c r="L9" s="2327"/>
      <c r="M9" s="2327" t="s">
        <v>1128</v>
      </c>
      <c r="N9" s="2327" t="s">
        <v>1129</v>
      </c>
      <c r="O9" s="2327" t="str">
        <f>"Информация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"&amp;TEMPLATE_SPHERE_RUS&amp;" в случае, если региональный государственный контроль (надзор) в области регулирования "&amp;IF(TEMPLATE_SPHERE="HEAT","цен (тарифов)","тарифов")&amp;" в сфере "&amp;TEMPLATE_SPHERE_RUS&amp;"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 (раскрывается 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(тарифов)","тарифов")&amp;" (раскрывается исполнительным органом субъекта Российской Федерации в области государственного регулирования "&amp;IF(TEMPLATE_SPHERE="HEAT","цен (тарифов)","тарифов")&amp;")")</f>
        <v>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 (раскрывается исполнительным органом субъекта Российской Федерации в области государственного регулирования цен (тарифов))</v>
      </c>
      <c r="P9" s="506"/>
      <c r="Q9" s="506"/>
      <c r="R9" s="506"/>
      <c r="S9" s="506"/>
      <c r="T9" s="212"/>
      <c r="U9" s="506"/>
      <c r="V9" s="211"/>
      <c r="W9" s="211"/>
      <c r="X9" s="211"/>
      <c r="Y9" s="211"/>
    </row>
    <row s="2657" customFormat="1" customHeight="1" ht="63.75">
      <c r="A10" s="1163"/>
      <c r="B10" s="1168"/>
      <c r="C10" s="1163"/>
      <c r="D10" s="1525"/>
      <c r="E10" s="1971"/>
      <c r="F10" s="2337"/>
      <c r="G10" s="2337"/>
      <c r="H10" s="158" t="s">
        <v>1130</v>
      </c>
      <c r="I10" s="158" t="s">
        <v>299</v>
      </c>
      <c r="J10" s="2326"/>
      <c r="K10" s="2326"/>
      <c r="L10" s="2337"/>
      <c r="M10" s="2337"/>
      <c r="N10" s="2337"/>
      <c r="O10" s="2337"/>
      <c r="P10" s="506"/>
      <c r="Q10" s="506"/>
      <c r="R10" s="506"/>
      <c r="S10" s="506"/>
      <c r="T10" s="212"/>
      <c r="U10" s="506"/>
      <c r="V10" s="211"/>
      <c r="W10" s="211"/>
      <c r="X10" s="211"/>
      <c r="Y10" s="211"/>
    </row>
    <row s="2666" customFormat="1" customHeight="1" ht="22.5">
      <c r="A11" s="1953">
        <v>26379339</v>
      </c>
      <c r="B11" s="1168">
        <v>1</v>
      </c>
      <c r="C11" s="1168"/>
      <c r="D11" s="807"/>
      <c r="E11" s="2090"/>
      <c r="F11" s="2090">
        <v>1</v>
      </c>
      <c r="G11" s="2335" t="str">
        <f>IF(region_name="","",region_name)</f>
        <v>Ростовская область</v>
      </c>
      <c r="H11" s="2336"/>
      <c r="I11" s="2341"/>
      <c r="J11" s="480"/>
      <c r="K11" s="1514">
        <v>1</v>
      </c>
      <c r="L11" s="1590"/>
      <c r="M11" s="1576"/>
      <c r="N11" s="1576"/>
      <c r="O11" s="1575"/>
      <c r="P11" s="1565">
        <f>MERGEVALUE(G11)</f>
      </c>
      <c r="Q11" s="517"/>
      <c r="R11" s="517"/>
      <c r="S11" s="506" t="str">
        <f t="array" ref="S11:S11">IF(ISERROR(MATCH(MID(T11,1,250),MID(note_ter,1,250),0)),"n","y")</f>
        <v>n</v>
      </c>
      <c r="T11" s="517"/>
      <c r="U11" s="506"/>
      <c r="V11" s="1168"/>
      <c r="W11" s="1168"/>
      <c r="X11" s="426"/>
      <c r="Y11" s="1168"/>
      <c r="Z11" s="1168"/>
      <c r="AA11" s="1168"/>
      <c r="AB11" s="428"/>
      <c r="AC11" s="428"/>
      <c r="AD11" s="425"/>
      <c r="AE11" s="425"/>
      <c r="AF11" s="425"/>
      <c r="AG11" s="425"/>
      <c r="AH11" s="425"/>
      <c r="AI11" s="425"/>
      <c r="AJ11" s="425"/>
      <c r="AK11" s="425"/>
      <c r="AL11" s="425"/>
      <c r="AM11" s="425"/>
      <c r="AN11" s="425"/>
      <c r="AO11" s="425"/>
      <c r="AP11" s="425"/>
      <c r="AQ11" s="425"/>
      <c r="AR11" s="425"/>
      <c r="AS11" s="425"/>
      <c r="AT11" s="425"/>
      <c r="AU11" s="425"/>
      <c r="AV11" s="425"/>
      <c r="AW11" s="425"/>
      <c r="AX11" s="425"/>
      <c r="AY11" s="425"/>
      <c r="AZ11" s="425"/>
      <c r="BA11" s="425"/>
      <c r="BB11" s="425"/>
      <c r="BC11" s="425"/>
      <c r="BD11" s="425"/>
      <c r="BE11" s="425"/>
      <c r="BF11" s="425"/>
      <c r="BG11" s="425"/>
      <c r="BH11" s="425"/>
      <c r="BI11" s="425"/>
      <c r="BJ11" s="425"/>
      <c r="BK11" s="425"/>
      <c r="BL11" s="425"/>
      <c r="BM11" s="425"/>
      <c r="BN11" s="425"/>
      <c r="BO11" s="425"/>
      <c r="BP11" s="425"/>
      <c r="BQ11" s="425"/>
      <c r="BR11" s="425"/>
      <c r="BS11" s="425"/>
      <c r="BT11" s="425"/>
      <c r="BU11" s="425"/>
      <c r="BV11" s="425"/>
      <c r="BW11" s="425"/>
      <c r="BX11" s="425"/>
      <c r="BY11" s="428"/>
      <c r="BZ11" s="428"/>
      <c r="CA11" s="428"/>
      <c r="CB11" s="428"/>
      <c r="CC11" s="428"/>
      <c r="CD11" s="428"/>
      <c r="CE11" s="428"/>
      <c r="CF11" s="428"/>
      <c r="CG11" s="428"/>
      <c r="CH11" s="428"/>
    </row>
    <row s="2666" customFormat="1" customHeight="1" ht="22.5">
      <c r="A12" s="1953"/>
      <c r="B12" s="1168"/>
      <c r="C12" s="1168"/>
      <c r="D12" s="807"/>
      <c r="E12" s="2090"/>
      <c r="F12" s="2090"/>
      <c r="G12" s="2335"/>
      <c r="H12" s="2336"/>
      <c r="I12" s="2342"/>
      <c r="J12" s="1574"/>
      <c r="K12" s="1530"/>
      <c r="L12" s="1530" t="s">
        <v>1120</v>
      </c>
      <c r="M12" s="1577"/>
      <c r="N12" s="1577"/>
      <c r="O12" s="1578"/>
      <c r="P12" s="1565"/>
      <c r="Q12" s="517"/>
      <c r="R12" s="517"/>
      <c r="S12" s="506"/>
      <c r="T12" s="517"/>
      <c r="U12" s="506"/>
      <c r="V12" s="1168"/>
      <c r="W12" s="1168"/>
      <c r="X12" s="426"/>
      <c r="Y12" s="1168"/>
      <c r="Z12" s="1168"/>
      <c r="AA12" s="1168"/>
      <c r="AB12" s="428"/>
      <c r="AC12" s="428"/>
      <c r="AD12" s="425"/>
      <c r="AE12" s="425"/>
      <c r="AF12" s="425"/>
      <c r="AG12" s="425"/>
      <c r="AH12" s="425"/>
      <c r="AI12" s="425"/>
      <c r="AJ12" s="425"/>
      <c r="AK12" s="425"/>
      <c r="AL12" s="425"/>
      <c r="AM12" s="425"/>
      <c r="AN12" s="425"/>
      <c r="AO12" s="425"/>
      <c r="AP12" s="425"/>
      <c r="AQ12" s="425"/>
      <c r="AR12" s="425"/>
      <c r="AS12" s="425"/>
      <c r="AT12" s="425"/>
      <c r="AU12" s="425"/>
      <c r="AV12" s="425"/>
      <c r="AW12" s="425"/>
      <c r="AX12" s="425"/>
      <c r="AY12" s="425"/>
      <c r="AZ12" s="425"/>
      <c r="BA12" s="425"/>
      <c r="BB12" s="425"/>
      <c r="BC12" s="425"/>
      <c r="BD12" s="425"/>
      <c r="BE12" s="425"/>
      <c r="BF12" s="425"/>
      <c r="BG12" s="425"/>
      <c r="BH12" s="425"/>
      <c r="BI12" s="425"/>
      <c r="BJ12" s="425"/>
      <c r="BK12" s="425"/>
      <c r="BL12" s="425"/>
      <c r="BM12" s="425"/>
      <c r="BN12" s="425"/>
      <c r="BO12" s="425"/>
      <c r="BP12" s="425"/>
      <c r="BQ12" s="425"/>
      <c r="BR12" s="425"/>
      <c r="BS12" s="425"/>
      <c r="BT12" s="425"/>
      <c r="BU12" s="425"/>
      <c r="BV12" s="425"/>
      <c r="BW12" s="425"/>
      <c r="BX12" s="425"/>
      <c r="BY12" s="428"/>
      <c r="BZ12" s="428"/>
      <c r="CA12" s="428"/>
      <c r="CB12" s="428"/>
      <c r="CC12" s="428"/>
      <c r="CD12" s="428"/>
      <c r="CE12" s="428"/>
      <c r="CF12" s="428"/>
      <c r="CG12" s="428"/>
      <c r="CH12" s="428"/>
    </row>
    <row s="2666" customFormat="1" customHeight="1" ht="22.5">
      <c r="A13" s="1953"/>
      <c r="B13" s="1168"/>
      <c r="C13" s="418"/>
      <c r="D13" s="807"/>
      <c r="E13" s="1571"/>
      <c r="F13" s="1574"/>
      <c r="G13" s="1530" t="s">
        <v>1114</v>
      </c>
      <c r="H13" s="1572"/>
      <c r="I13" s="1572"/>
      <c r="J13" s="173"/>
      <c r="K13" s="173"/>
      <c r="L13" s="173"/>
      <c r="M13" s="173"/>
      <c r="N13" s="173"/>
      <c r="O13" s="1573"/>
      <c r="P13" s="1566"/>
      <c r="Q13" s="517"/>
      <c r="R13" s="517"/>
      <c r="S13" s="517"/>
      <c r="T13" s="506"/>
      <c r="U13" s="517"/>
      <c r="V13" s="1168"/>
      <c r="W13" s="1168"/>
      <c r="X13" s="426"/>
      <c r="Y13" s="1168"/>
      <c r="Z13" s="1168"/>
      <c r="AA13" s="1168"/>
      <c r="AB13" s="428"/>
      <c r="AC13" s="428"/>
      <c r="AD13" s="425"/>
      <c r="AE13" s="425"/>
      <c r="AF13" s="425"/>
      <c r="AG13" s="425"/>
      <c r="AH13" s="425"/>
      <c r="AI13" s="425"/>
      <c r="AJ13" s="425"/>
      <c r="AK13" s="425"/>
      <c r="AL13" s="425"/>
      <c r="AM13" s="425"/>
      <c r="AN13" s="425"/>
      <c r="AO13" s="425"/>
      <c r="AP13" s="425"/>
      <c r="AQ13" s="425"/>
      <c r="AR13" s="425"/>
      <c r="AS13" s="425"/>
      <c r="AT13" s="425"/>
      <c r="AU13" s="425"/>
      <c r="AV13" s="425"/>
      <c r="AW13" s="425"/>
      <c r="AX13" s="425"/>
      <c r="AY13" s="425"/>
      <c r="AZ13" s="425"/>
      <c r="BA13" s="425"/>
      <c r="BB13" s="425"/>
      <c r="BC13" s="425"/>
      <c r="BD13" s="425"/>
      <c r="BE13" s="425"/>
      <c r="BF13" s="425"/>
      <c r="BG13" s="425"/>
      <c r="BH13" s="425"/>
      <c r="BI13" s="425"/>
      <c r="BJ13" s="425"/>
      <c r="BK13" s="425"/>
      <c r="BL13" s="425"/>
      <c r="BM13" s="425"/>
      <c r="BN13" s="425"/>
      <c r="BO13" s="425"/>
      <c r="BP13" s="425"/>
      <c r="BQ13" s="425"/>
      <c r="BR13" s="425"/>
      <c r="BS13" s="425"/>
      <c r="BT13" s="425"/>
      <c r="BU13" s="425"/>
      <c r="BV13" s="425"/>
      <c r="BW13" s="425"/>
      <c r="BX13" s="425"/>
      <c r="BY13" s="428"/>
      <c r="BZ13" s="428"/>
      <c r="CA13" s="428"/>
      <c r="CB13" s="428"/>
      <c r="CC13" s="428"/>
      <c r="CD13" s="428"/>
      <c r="CE13" s="428"/>
      <c r="CF13" s="428"/>
      <c r="CG13" s="428"/>
      <c r="CH13" s="428"/>
    </row>
    <row s="2657" customFormat="1" customHeight="1" ht="21">
      <c r="A14" s="1163"/>
      <c r="B14" s="1168"/>
      <c r="C14" s="1163"/>
      <c r="D14" s="457"/>
      <c r="E14" s="166"/>
      <c r="F14" s="166"/>
      <c r="G14" s="166"/>
      <c r="H14" s="166"/>
      <c r="I14" s="166"/>
      <c r="J14" s="166"/>
      <c r="K14" s="166"/>
      <c r="L14" s="166"/>
      <c r="M14" s="166"/>
      <c r="N14" s="515"/>
      <c r="O14" s="515"/>
      <c r="P14" s="506"/>
      <c r="Q14" s="506"/>
      <c r="R14" s="506"/>
      <c r="S14" s="506"/>
      <c r="T14" s="212"/>
      <c r="U14" s="506"/>
      <c r="V14" s="211"/>
      <c r="W14" s="211"/>
      <c r="X14" s="211"/>
      <c r="Y14" s="211"/>
    </row>
    <row s="2657" customFormat="1" customHeight="1" ht="14.25">
      <c r="A15" s="1163"/>
      <c r="B15" s="1168"/>
      <c r="C15" s="1163"/>
      <c r="D15" s="457"/>
      <c r="E15" s="1163"/>
      <c r="F15" s="1163"/>
      <c r="G15" s="1163"/>
      <c r="H15" s="1163"/>
      <c r="I15" s="1163"/>
      <c r="J15" s="1163"/>
      <c r="K15" s="1163"/>
      <c r="L15" s="1163"/>
      <c r="M15" s="1163"/>
      <c r="N15" s="1163"/>
      <c r="O15" s="1163"/>
      <c r="P15" s="506"/>
      <c r="Q15" s="506"/>
      <c r="R15" s="506"/>
      <c r="S15" s="506"/>
      <c r="T15" s="212"/>
      <c r="U15" s="506"/>
      <c r="V15" s="211"/>
      <c r="W15" s="211"/>
      <c r="X15" s="211"/>
      <c r="Y15" s="211"/>
    </row>
    <row s="2657" customFormat="1" customHeight="1" ht="0.75">
      <c r="A16" s="1163"/>
      <c r="B16" s="1168"/>
      <c r="C16" s="1163"/>
      <c r="D16" s="457"/>
      <c r="E16" s="1163"/>
      <c r="F16" s="1163"/>
      <c r="G16" s="1163"/>
      <c r="H16" s="1163"/>
      <c r="I16" s="1163"/>
      <c r="J16" s="1163"/>
      <c r="K16" s="1163"/>
      <c r="L16" s="1163"/>
      <c r="M16" s="1163"/>
      <c r="N16" s="1163"/>
      <c r="O16" s="1163"/>
      <c r="P16" s="506"/>
      <c r="Q16" s="506"/>
      <c r="R16" s="506"/>
      <c r="S16" s="506"/>
      <c r="T16" s="212"/>
      <c r="U16" s="506"/>
      <c r="V16" s="211"/>
      <c r="W16" s="211"/>
      <c r="X16" s="211"/>
      <c r="Y16" s="211"/>
    </row>
  </sheetData>
  <sheetProtection formatColumns="0" formatRows="0" autoFilter="0" sort="0" insertRows="0" insertColumns="1" deleteRows="0" deleteColumns="0"/>
  <mergeCells count="21">
    <mergeCell ref="A11:A13"/>
    <mergeCell ref="E11:E12"/>
    <mergeCell ref="G11:G12"/>
    <mergeCell ref="H11:H12"/>
    <mergeCell ref="E6:O6"/>
    <mergeCell ref="E9:E10"/>
    <mergeCell ref="G9:G10"/>
    <mergeCell ref="M9:M10"/>
    <mergeCell ref="F9:F10"/>
    <mergeCell ref="F11:F12"/>
    <mergeCell ref="J8:L8"/>
    <mergeCell ref="N9:N10"/>
    <mergeCell ref="O9:O10"/>
    <mergeCell ref="I11:I12"/>
    <mergeCell ref="H9:I9"/>
    <mergeCell ref="J9:L10"/>
    <mergeCell ref="E2:E3"/>
    <mergeCell ref="F2:F3"/>
    <mergeCell ref="G2:G3"/>
    <mergeCell ref="H2:H3"/>
    <mergeCell ref="I2:I3"/>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M2:O4 L2 O11 M12:O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D2DE78-6AEE-6448-BBE8-41CE4F1F1028}" mc:Ignorable="x14ac xr xr2 xr3">
  <sheetPr>
    <tabColor rgb="FFCCCCFF"/>
    <pageSetUpPr fitToPage="1"/>
  </sheetPr>
  <dimension ref="A1:L12"/>
  <sheetViews>
    <sheetView topLeftCell="A1" showGridLines="0" zoomScale="90" workbookViewId="0">
      <selection activeCell="A1" sqref="A1"/>
    </sheetView>
  </sheetViews>
  <sheetFormatPr defaultColWidth="9.140625" customHeight="1" defaultRowHeight="14.25"/>
  <cols>
    <col min="1" max="2" style="4712" width="9.140625" hidden="1"/>
    <col min="3" max="3" style="4713" width="3.7109375" customWidth="1"/>
    <col min="4" max="4" style="4712" width="6.28125" customWidth="1"/>
    <col min="5" max="5" style="4712" width="94.8515625" customWidth="1"/>
    <col min="6" max="12" style="4712" width="9.140625"/>
  </cols>
  <sheetData>
    <row customHeight="1" ht="14.25" hidden="1">
      <c r="L1" s="250"/>
    </row>
    <row customHeight="1" ht="14.25" hidden="1"/>
    <row customHeight="1" ht="14.25" hidden="1"/>
    <row customHeight="1" ht="14.25" hidden="1"/>
    <row customHeight="1" ht="14.25" hidden="1"/>
    <row customHeight="1" ht="3">
      <c r="C6" s="77"/>
      <c r="D6" s="55"/>
      <c r="E6" s="55"/>
    </row>
    <row customHeight="1" ht="22.5">
      <c r="C7" s="77"/>
      <c r="D7" s="1954" t="s">
        <v>1131</v>
      </c>
      <c r="E7" s="1954"/>
      <c r="F7" s="253"/>
    </row>
    <row customHeight="1" ht="3">
      <c r="C8" s="77"/>
      <c r="D8" s="55"/>
      <c r="E8" s="55"/>
    </row>
    <row customHeight="1" ht="15.75">
      <c r="C9" s="77"/>
      <c r="D9" s="91" t="s">
        <v>87</v>
      </c>
      <c r="E9" s="94" t="s">
        <v>278</v>
      </c>
    </row>
    <row customHeight="1" ht="12">
      <c r="C10" s="77"/>
      <c r="D10" s="72" t="s">
        <v>108</v>
      </c>
      <c r="E10" s="72" t="s">
        <v>109</v>
      </c>
    </row>
    <row customHeight="1" ht="15" hidden="1">
      <c r="C11" s="77"/>
      <c r="D11" s="99">
        <v>0</v>
      </c>
      <c r="E11" s="135"/>
    </row>
    <row customHeight="1" ht="14.25">
      <c r="C12" s="77"/>
      <c r="D12" s="95"/>
      <c r="E12" s="93" t="s">
        <v>1091</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17495A-8F18-AB18-33A1-CD55DD62CBC8}" mc:Ignorable="x14ac xr xr2 xr3">
  <sheetPr>
    <tabColor rgb="FFCCCCFF"/>
  </sheetPr>
  <dimension ref="A1:E4"/>
  <sheetViews>
    <sheetView topLeftCell="A1" showGridLines="0" zoomScale="90" workbookViewId="0">
      <selection activeCell="A1" sqref="A1"/>
    </sheetView>
  </sheetViews>
  <sheetFormatPr defaultColWidth="9.140625" customHeight="1" defaultRowHeight="11.25"/>
  <cols>
    <col min="1" max="1" style="4797" width="1.7109375" customWidth="1"/>
    <col min="2" max="2" style="4797" width="34.57421875" customWidth="1"/>
    <col min="3" max="3" style="4797" width="85.57421875" customWidth="1"/>
    <col min="4" max="4" style="4797" width="17.7109375" customWidth="1"/>
    <col min="5" max="5" style="4797" width="9.140625"/>
  </cols>
  <sheetData>
    <row customHeight="1" ht="3"/>
    <row customHeight="1" ht="22.5">
      <c r="B2" s="2343" t="s">
        <v>1132</v>
      </c>
      <c r="C2" s="2343"/>
      <c r="D2" s="2343"/>
      <c r="E2" s="254"/>
    </row>
    <row customHeight="1" ht="3"/>
    <row customHeight="1" ht="21.75">
      <c r="B4" s="389" t="s">
        <v>1133</v>
      </c>
      <c r="C4" s="389" t="s">
        <v>1134</v>
      </c>
      <c r="D4" s="389" t="s">
        <v>1135</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7509A8-2C3E-9848-BB0B-3C0EE3DA4E0A}" mc:Ignorable="x14ac xr xr2 xr3">
  <sheetPr>
    <tabColor rgb="FFFFCC99"/>
  </sheetPr>
  <dimension ref="A1:GB207"/>
  <sheetViews>
    <sheetView topLeftCell="A1" showGridLines="0" zoomScale="85" workbookViewId="0">
      <selection activeCell="A1" sqref="A1"/>
    </sheetView>
  </sheetViews>
  <sheetFormatPr customHeight="1" defaultRowHeight="17.1"/>
  <cols>
    <col min="1" max="1" style="4797" width="26.57421875" customWidth="1"/>
    <col min="2" max="2" style="4797" width="10.00390625" customWidth="1"/>
    <col min="3" max="3" style="4797" width="9.140625"/>
    <col min="4" max="4" style="4797" width="11.140625" customWidth="1"/>
    <col min="5" max="5" style="4797" width="16.57421875" customWidth="1"/>
    <col min="6" max="6" style="4797" width="16.28125" customWidth="1"/>
    <col min="7" max="7" style="4797" width="19.140625" customWidth="1"/>
    <col min="8" max="11" style="4797" width="10.00390625" customWidth="1"/>
    <col min="12" max="12" style="4797" width="12.7109375" customWidth="1"/>
    <col min="13" max="13" style="4797" width="61.28125" customWidth="1"/>
    <col min="14" max="14" style="4797" width="10.00390625" customWidth="1"/>
    <col min="15" max="17" style="4797" width="23.7109375" customWidth="1"/>
    <col min="18" max="18" style="4797" width="11.7109375" customWidth="1"/>
    <col min="19" max="19" style="4797" width="8.57421875" customWidth="1"/>
    <col min="20" max="20" style="4797" width="11.7109375" customWidth="1"/>
    <col min="21" max="21" style="4797" width="8.57421875" customWidth="1"/>
    <col min="22" max="22" style="4797" width="4.7109375" customWidth="1"/>
    <col min="23" max="23" style="4797" width="115.7109375" customWidth="1"/>
    <col min="24" max="24" style="4797" width="115.28125" customWidth="1"/>
    <col min="25" max="27" style="4797" width="9.140625"/>
    <col min="28" max="28" style="4797" width="115.7109375" customWidth="1"/>
    <col min="29" max="29" style="4797" width="9.140625"/>
    <col min="30" max="90" style="4797" width="115.7109375" customWidth="1"/>
    <col min="91" max="184" style="4797" width="9.140625"/>
  </cols>
  <sheetData>
    <row r="2" s="4798" customFormat="1" customHeight="1" ht="17.25">
      <c r="A2" s="1856" t="s">
        <v>1136</v>
      </c>
    </row>
    <row r="4" s="4712" customFormat="1" customHeight="1" ht="15">
      <c r="C4" s="1857"/>
      <c r="D4" s="99"/>
      <c r="E4" s="380"/>
    </row>
    <row r="6" s="4798" customFormat="1" customHeight="1" ht="17.25">
      <c r="A6" s="1856" t="s">
        <v>1137</v>
      </c>
    </row>
    <row r="8" s="4712" customFormat="1" customHeight="1" ht="17.25">
      <c r="C8" s="1858"/>
      <c r="D8" s="99"/>
      <c r="E8" s="100"/>
    </row>
    <row r="11" s="4798" customFormat="1" customHeight="1" ht="17.25">
      <c r="A11" s="1856" t="s">
        <v>1138</v>
      </c>
    </row>
    <row r="13" s="4802" customFormat="1" customHeight="1" ht="15">
      <c r="A13" s="2082">
        <v>1</v>
      </c>
      <c r="B13" s="1168"/>
      <c r="C13" s="807" t="s">
        <v>438</v>
      </c>
      <c r="D13" s="1859"/>
      <c r="E13" s="1846">
        <f>A13</f>
        <v>1</v>
      </c>
      <c r="F13" s="810"/>
      <c r="G13" s="546" t="str">
        <f>"Территория "&amp;E13</f>
        <v>Территория 1</v>
      </c>
      <c r="H13" s="798"/>
      <c r="I13" s="798"/>
      <c r="J13" s="795"/>
      <c r="K13" s="1664"/>
      <c r="L13" s="1664"/>
      <c r="M13" s="1664"/>
      <c r="N13" s="212"/>
      <c r="O13" s="1664"/>
      <c r="P13" s="211"/>
      <c r="Q13" s="211"/>
      <c r="R13" s="211"/>
      <c r="S13" s="211"/>
    </row>
    <row s="2666" customFormat="1" customHeight="1" ht="15">
      <c r="A14" s="2082"/>
      <c r="B14" s="1168">
        <v>1</v>
      </c>
      <c r="C14" s="1168"/>
      <c r="D14" s="806"/>
      <c r="E14" s="1854" t="str">
        <f>A13&amp;"."&amp;B14</f>
        <v>1.1</v>
      </c>
      <c r="F14" s="809">
        <f>$F$20</f>
        <v>0</v>
      </c>
      <c r="G14" s="799"/>
      <c r="H14" s="799"/>
      <c r="I14" s="797"/>
      <c r="J14" s="1664"/>
      <c r="K14" s="1676"/>
      <c r="L14" s="1676"/>
      <c r="M14" s="1664" t="str">
        <f t="array" ref="M14:M14">IF(ISERROR(MATCH(MID(N14,1,250),MID(note_ter,1,250),0)),"n","y")</f>
        <v>n</v>
      </c>
      <c r="N14" s="1676"/>
      <c r="O14" s="1664" t="str">
        <f>H14&amp;"("&amp;I14&amp;")"</f>
        <v>()</v>
      </c>
      <c r="P14" s="1168"/>
      <c r="Q14" s="1168"/>
      <c r="R14" s="426"/>
      <c r="S14" s="1168"/>
      <c r="T14" s="1168"/>
      <c r="U14" s="1168"/>
      <c r="V14" s="428"/>
      <c r="W14" s="428"/>
      <c r="X14" s="425"/>
      <c r="Y14" s="425"/>
      <c r="Z14" s="425"/>
      <c r="AA14" s="425"/>
      <c r="AB14" s="425"/>
      <c r="AC14" s="425"/>
      <c r="AD14" s="425"/>
      <c r="AE14" s="425"/>
      <c r="AF14" s="425"/>
      <c r="AG14" s="425"/>
      <c r="AH14" s="425"/>
      <c r="AI14" s="425"/>
      <c r="AJ14" s="425"/>
      <c r="AK14" s="425"/>
      <c r="AL14" s="425"/>
      <c r="AM14" s="425"/>
      <c r="AN14" s="425"/>
      <c r="AO14" s="425"/>
      <c r="AP14" s="425"/>
      <c r="AQ14" s="425"/>
      <c r="AR14" s="425"/>
      <c r="AS14" s="425"/>
      <c r="AT14" s="425"/>
      <c r="AU14" s="425"/>
      <c r="AV14" s="425"/>
      <c r="AW14" s="425"/>
      <c r="AX14" s="425"/>
      <c r="AY14" s="425"/>
      <c r="AZ14" s="425"/>
      <c r="BA14" s="425"/>
      <c r="BB14" s="425"/>
      <c r="BC14" s="425"/>
      <c r="BD14" s="425"/>
      <c r="BE14" s="425"/>
      <c r="BF14" s="425"/>
      <c r="BG14" s="425"/>
      <c r="BH14" s="425"/>
      <c r="BI14" s="425"/>
      <c r="BJ14" s="425"/>
      <c r="BK14" s="425"/>
      <c r="BL14" s="425"/>
      <c r="BM14" s="425"/>
      <c r="BN14" s="425"/>
      <c r="BO14" s="425"/>
      <c r="BP14" s="425"/>
      <c r="BQ14" s="425"/>
      <c r="BR14" s="425"/>
      <c r="BS14" s="428"/>
      <c r="BT14" s="428"/>
      <c r="BU14" s="428"/>
      <c r="BV14" s="428"/>
      <c r="BW14" s="428"/>
      <c r="BX14" s="428"/>
      <c r="BY14" s="428"/>
      <c r="BZ14" s="428"/>
      <c r="CA14" s="428"/>
      <c r="CB14" s="428"/>
    </row>
    <row s="2666" customFormat="1" customHeight="1" ht="15">
      <c r="A15" s="2082"/>
      <c r="B15" s="1168"/>
      <c r="C15" s="418"/>
      <c r="D15" s="807"/>
      <c r="E15" s="427"/>
      <c r="F15" s="163"/>
      <c r="G15" s="421" t="s">
        <v>101</v>
      </c>
      <c r="H15" s="173"/>
      <c r="I15" s="430"/>
      <c r="J15" s="1676"/>
      <c r="K15" s="1676"/>
      <c r="L15" s="1676"/>
      <c r="M15" s="1676"/>
      <c r="N15" s="1664"/>
      <c r="O15" s="1676"/>
      <c r="P15" s="1168"/>
      <c r="Q15" s="1168"/>
      <c r="R15" s="426"/>
      <c r="S15" s="1168"/>
      <c r="T15" s="1168"/>
      <c r="U15" s="1168"/>
      <c r="V15" s="428"/>
      <c r="W15" s="428"/>
      <c r="X15" s="425"/>
      <c r="Y15" s="425"/>
      <c r="Z15" s="425"/>
      <c r="AA15" s="425"/>
      <c r="AB15" s="425"/>
      <c r="AC15" s="425"/>
      <c r="AD15" s="425"/>
      <c r="AE15" s="425"/>
      <c r="AF15" s="425"/>
      <c r="AG15" s="425"/>
      <c r="AH15" s="425"/>
      <c r="AI15" s="425"/>
      <c r="AJ15" s="425"/>
      <c r="AK15" s="425"/>
      <c r="AL15" s="425"/>
      <c r="AM15" s="425"/>
      <c r="AN15" s="425"/>
      <c r="AO15" s="425"/>
      <c r="AP15" s="425"/>
      <c r="AQ15" s="425"/>
      <c r="AR15" s="425"/>
      <c r="AS15" s="425"/>
      <c r="AT15" s="425"/>
      <c r="AU15" s="425"/>
      <c r="AV15" s="425"/>
      <c r="AW15" s="425"/>
      <c r="AX15" s="425"/>
      <c r="AY15" s="425"/>
      <c r="AZ15" s="425"/>
      <c r="BA15" s="425"/>
      <c r="BB15" s="425"/>
      <c r="BC15" s="425"/>
      <c r="BD15" s="425"/>
      <c r="BE15" s="425"/>
      <c r="BF15" s="425"/>
      <c r="BG15" s="425"/>
      <c r="BH15" s="425"/>
      <c r="BI15" s="425"/>
      <c r="BJ15" s="425"/>
      <c r="BK15" s="425"/>
      <c r="BL15" s="425"/>
      <c r="BM15" s="425"/>
      <c r="BN15" s="425"/>
      <c r="BO15" s="425"/>
      <c r="BP15" s="425"/>
      <c r="BQ15" s="425"/>
      <c r="BR15" s="425"/>
      <c r="BS15" s="428"/>
      <c r="BT15" s="428"/>
      <c r="BU15" s="428"/>
      <c r="BV15" s="428"/>
      <c r="BW15" s="428"/>
      <c r="BX15" s="428"/>
      <c r="BY15" s="428"/>
      <c r="BZ15" s="428"/>
      <c r="CA15" s="428"/>
      <c r="CB15" s="428"/>
    </row>
    <row r="17" s="4798" customFormat="1" customHeight="1" ht="17.25">
      <c r="A17" s="1856" t="s">
        <v>1139</v>
      </c>
    </row>
    <row r="19" s="4169" customFormat="1" customHeight="1" ht="15">
      <c r="A19" s="1925"/>
      <c r="B19" s="1396">
        <v>1</v>
      </c>
      <c r="C19" s="1396"/>
      <c r="D19" s="806" t="s">
        <v>438</v>
      </c>
      <c r="E19" s="1921"/>
      <c r="F19" s="1926">
        <f>$F$20</f>
        <v>0</v>
      </c>
      <c r="G19" s="1930"/>
      <c r="H19" s="1930"/>
      <c r="I19" s="1928"/>
      <c r="J19" s="1664"/>
      <c r="K19" s="1676"/>
      <c r="L19" s="1676"/>
      <c r="M19" s="1664" t="str">
        <f t="array" ref="M19:M19">IF(ISERROR(MATCH(MID(N19,1,250),MID(note_ter,1,250),0)),"n","y")</f>
        <v>n</v>
      </c>
      <c r="N19" s="1676"/>
      <c r="O19" s="1664" t="str">
        <f>H19&amp;"("&amp;I19&amp;")"</f>
        <v>()</v>
      </c>
      <c r="P19" s="1396"/>
      <c r="Q19" s="1396"/>
      <c r="R19" s="426"/>
      <c r="S19" s="1396"/>
      <c r="T19" s="1396"/>
      <c r="U19" s="1396"/>
      <c r="V19" s="839"/>
      <c r="W19" s="839"/>
      <c r="X19" s="633"/>
      <c r="Y19" s="633"/>
      <c r="Z19" s="633"/>
      <c r="AA19" s="633"/>
      <c r="AB19" s="633"/>
      <c r="AC19" s="633"/>
      <c r="AD19" s="633"/>
      <c r="AE19" s="633"/>
      <c r="AF19" s="633"/>
      <c r="AG19" s="633"/>
      <c r="AH19" s="633"/>
      <c r="AI19" s="633"/>
      <c r="AJ19" s="633"/>
      <c r="AK19" s="633"/>
      <c r="AL19" s="633"/>
      <c r="AM19" s="633"/>
      <c r="AN19" s="633"/>
      <c r="AO19" s="633"/>
      <c r="AP19" s="633"/>
      <c r="AQ19" s="633"/>
      <c r="AR19" s="633"/>
      <c r="AS19" s="633"/>
      <c r="AT19" s="633"/>
      <c r="AU19" s="633"/>
      <c r="AV19" s="633"/>
      <c r="AW19" s="633"/>
      <c r="AX19" s="633"/>
      <c r="AY19" s="633"/>
      <c r="AZ19" s="633"/>
      <c r="BA19" s="633"/>
      <c r="BB19" s="633"/>
      <c r="BC19" s="633"/>
      <c r="BD19" s="633"/>
      <c r="BE19" s="633"/>
      <c r="BF19" s="633"/>
      <c r="BG19" s="633"/>
      <c r="BH19" s="633"/>
      <c r="BI19" s="633"/>
      <c r="BJ19" s="633"/>
      <c r="BK19" s="633"/>
      <c r="BL19" s="633"/>
      <c r="BM19" s="633"/>
      <c r="BN19" s="633"/>
      <c r="BO19" s="633"/>
      <c r="BP19" s="633"/>
      <c r="BQ19" s="633"/>
      <c r="BR19" s="633"/>
      <c r="BS19" s="839"/>
      <c r="BT19" s="839"/>
      <c r="BU19" s="839"/>
      <c r="BV19" s="839"/>
      <c r="BW19" s="839"/>
      <c r="BX19" s="839"/>
      <c r="BY19" s="839"/>
      <c r="BZ19" s="839"/>
      <c r="CA19" s="839"/>
      <c r="CB19" s="839"/>
    </row>
    <row r="21" s="2666" customFormat="1" customHeight="1" ht="15">
      <c r="A21" s="1856" t="s">
        <v>1140</v>
      </c>
      <c r="B21" s="1856"/>
      <c r="C21" s="1856"/>
      <c r="D21" s="1856"/>
      <c r="E21" s="1856"/>
      <c r="F21" s="1856"/>
      <c r="G21" s="1856"/>
      <c r="H21" s="1856"/>
      <c r="I21" s="1856"/>
      <c r="J21" s="1856"/>
      <c r="K21" s="1856"/>
      <c r="L21" s="1856"/>
      <c r="M21" s="1856"/>
      <c r="N21" s="1856"/>
      <c r="O21" s="1856"/>
      <c r="P21" s="1856"/>
      <c r="Q21" s="1856"/>
      <c r="R21" s="1856"/>
      <c r="S21" s="1856"/>
      <c r="T21" s="1856"/>
      <c r="U21" s="170"/>
      <c r="V21" s="1856"/>
      <c r="W21" s="1856"/>
    </row>
    <row s="2666" customFormat="1" customHeight="1" ht="15">
      <c r="U22" s="171"/>
    </row>
    <row s="4814" customFormat="1" customHeight="1" ht="15">
      <c r="A23" s="429"/>
      <c r="B23" s="429"/>
      <c r="C23" s="1768" t="s">
        <v>438</v>
      </c>
      <c r="D23" s="1982" t="s">
        <v>108</v>
      </c>
      <c r="E23" s="1983"/>
      <c r="F23" s="1981" t="s">
        <v>56</v>
      </c>
      <c r="G23" s="2394"/>
      <c r="H23" s="1971">
        <v>1</v>
      </c>
      <c r="I23" s="2396" t="str">
        <f>IF(U23="","",INDEX(TERRITORY_MR_LIST,MATCH(U23,TERRITORY_LIST_ID,0)))</f>
        <v/>
      </c>
      <c r="J23" s="1981" t="s">
        <v>56</v>
      </c>
      <c r="K23" s="838"/>
      <c r="L23" s="1823" t="s">
        <v>108</v>
      </c>
      <c r="M23" s="609"/>
      <c r="N23" s="610"/>
      <c r="O23" s="610"/>
      <c r="P23" s="610"/>
      <c r="Q23" s="610"/>
      <c r="R23" s="610"/>
      <c r="S23" s="610"/>
      <c r="T23" s="610"/>
      <c r="U23" s="611"/>
      <c r="V23" s="610"/>
      <c r="W23" s="610"/>
      <c r="X23" s="601"/>
      <c r="Y23" s="601" t="s">
        <v>117</v>
      </c>
      <c r="Z23" s="601">
        <v>1705000</v>
      </c>
      <c r="AA23" s="601"/>
      <c r="AB23" s="601"/>
      <c r="AC23" s="601"/>
      <c r="AD23" s="601"/>
      <c r="AE23" s="601"/>
      <c r="AF23" s="601"/>
      <c r="AG23" s="601"/>
      <c r="AH23" s="601"/>
      <c r="AI23" s="601"/>
      <c r="AJ23" s="601"/>
      <c r="AK23" s="601"/>
      <c r="AL23" s="601"/>
    </row>
    <row s="4814" customFormat="1" customHeight="1" ht="15">
      <c r="A24" s="429"/>
      <c r="B24" s="429"/>
      <c r="C24" s="162"/>
      <c r="D24" s="1982"/>
      <c r="E24" s="1984"/>
      <c r="F24" s="1981"/>
      <c r="G24" s="2395"/>
      <c r="H24" s="1971"/>
      <c r="I24" s="2397"/>
      <c r="J24" s="1981"/>
      <c r="K24" s="427"/>
      <c r="L24" s="163"/>
      <c r="M24" s="613" t="s">
        <v>118</v>
      </c>
      <c r="N24" s="610"/>
      <c r="O24" s="610"/>
      <c r="P24" s="610"/>
      <c r="Q24" s="610"/>
      <c r="R24" s="610"/>
      <c r="S24" s="610"/>
      <c r="T24" s="610"/>
      <c r="U24" s="611"/>
      <c r="V24" s="610"/>
      <c r="W24" s="610"/>
      <c r="X24" s="601"/>
      <c r="Y24" s="601"/>
      <c r="Z24" s="601"/>
      <c r="AA24" s="601"/>
      <c r="AB24" s="601"/>
      <c r="AC24" s="601"/>
      <c r="AD24" s="601"/>
      <c r="AE24" s="601"/>
      <c r="AF24" s="601"/>
      <c r="AG24" s="601"/>
      <c r="AH24" s="601"/>
      <c r="AI24" s="601"/>
      <c r="AJ24" s="601"/>
      <c r="AK24" s="601"/>
      <c r="AL24" s="601"/>
    </row>
    <row s="4814" customFormat="1" customHeight="1" ht="15">
      <c r="A25" s="429"/>
      <c r="B25" s="429"/>
      <c r="C25" s="162"/>
      <c r="D25" s="1982"/>
      <c r="E25" s="1985"/>
      <c r="F25" s="1981"/>
      <c r="G25" s="427"/>
      <c r="H25" s="163"/>
      <c r="I25" s="586" t="s">
        <v>119</v>
      </c>
      <c r="J25" s="163"/>
      <c r="K25" s="163"/>
      <c r="L25" s="163"/>
      <c r="M25" s="614"/>
      <c r="N25" s="610"/>
      <c r="O25" s="610"/>
      <c r="P25" s="610"/>
      <c r="Q25" s="610"/>
      <c r="R25" s="610"/>
      <c r="S25" s="610"/>
      <c r="T25" s="610"/>
      <c r="U25" s="611"/>
      <c r="V25" s="610"/>
      <c r="W25" s="610"/>
      <c r="X25" s="601"/>
      <c r="Y25" s="601"/>
      <c r="Z25" s="601"/>
      <c r="AA25" s="601"/>
      <c r="AB25" s="601"/>
      <c r="AC25" s="601"/>
      <c r="AD25" s="601"/>
      <c r="AE25" s="601"/>
      <c r="AF25" s="601"/>
      <c r="AG25" s="601"/>
      <c r="AH25" s="601"/>
      <c r="AI25" s="601"/>
      <c r="AJ25" s="601"/>
      <c r="AK25" s="601"/>
      <c r="AL25" s="601"/>
    </row>
    <row s="2666" customFormat="1" customHeight="1" ht="15">
      <c r="U26" s="171"/>
    </row>
    <row s="2666" customFormat="1" customHeight="1" ht="15">
      <c r="A27" s="1856" t="s">
        <v>1141</v>
      </c>
      <c r="B27" s="1856"/>
      <c r="C27" s="1856"/>
      <c r="D27" s="1856"/>
      <c r="E27" s="1856"/>
      <c r="F27" s="1856"/>
      <c r="G27" s="1856"/>
      <c r="H27" s="1856"/>
      <c r="I27" s="1856"/>
      <c r="J27" s="1856"/>
      <c r="K27" s="1856"/>
      <c r="L27" s="1856"/>
      <c r="M27" s="1856"/>
      <c r="N27" s="1856"/>
      <c r="O27" s="1856"/>
      <c r="P27" s="1856"/>
      <c r="Q27" s="1856"/>
      <c r="R27" s="1856"/>
      <c r="S27" s="1856"/>
      <c r="T27" s="1856"/>
      <c r="U27" s="170"/>
      <c r="V27" s="1856"/>
      <c r="W27" s="1856"/>
    </row>
    <row s="2666" customFormat="1" customHeight="1" ht="15">
      <c r="U28" s="171"/>
    </row>
    <row s="4814" customFormat="1" customHeight="1" ht="15">
      <c r="A29" s="429"/>
      <c r="B29" s="429"/>
      <c r="C29" s="162"/>
      <c r="D29" s="1862"/>
      <c r="E29" s="1862"/>
      <c r="F29" s="1862"/>
      <c r="G29" s="2398" t="s">
        <v>438</v>
      </c>
      <c r="H29" s="1957">
        <v>1</v>
      </c>
      <c r="I29" s="2399" t="str">
        <f>IF(U29="","",INDEX(TERRITORY_MR_LIST,MATCH(U29,TERRITORY_LIST_ID,0)))</f>
        <v/>
      </c>
      <c r="J29" s="1981" t="s">
        <v>56</v>
      </c>
      <c r="K29" s="838"/>
      <c r="L29" s="1823" t="s">
        <v>108</v>
      </c>
      <c r="M29" s="609"/>
      <c r="N29" s="610"/>
      <c r="O29" s="610"/>
      <c r="P29" s="610"/>
      <c r="Q29" s="610"/>
      <c r="R29" s="610"/>
      <c r="S29" s="610"/>
      <c r="T29" s="610"/>
      <c r="U29" s="611"/>
      <c r="V29" s="610"/>
      <c r="W29" s="610"/>
      <c r="X29" s="601"/>
      <c r="Y29" s="601" t="s">
        <v>117</v>
      </c>
      <c r="Z29" s="601">
        <v>1705000</v>
      </c>
      <c r="AA29" s="601"/>
      <c r="AB29" s="601"/>
      <c r="AC29" s="601"/>
      <c r="AD29" s="601"/>
      <c r="AE29" s="601"/>
      <c r="AF29" s="601"/>
      <c r="AG29" s="601"/>
      <c r="AH29" s="601"/>
      <c r="AI29" s="601"/>
      <c r="AJ29" s="601"/>
      <c r="AK29" s="601"/>
      <c r="AL29" s="601"/>
    </row>
    <row s="4814" customFormat="1" customHeight="1" ht="15">
      <c r="A30" s="429"/>
      <c r="B30" s="429"/>
      <c r="C30" s="162"/>
      <c r="D30" s="1862"/>
      <c r="E30" s="1862"/>
      <c r="F30" s="1862"/>
      <c r="G30" s="2398"/>
      <c r="H30" s="1957"/>
      <c r="I30" s="2399"/>
      <c r="J30" s="1981"/>
      <c r="K30" s="427"/>
      <c r="L30" s="163"/>
      <c r="M30" s="613" t="s">
        <v>118</v>
      </c>
      <c r="N30" s="610"/>
      <c r="O30" s="610"/>
      <c r="P30" s="610"/>
      <c r="Q30" s="610"/>
      <c r="R30" s="610"/>
      <c r="S30" s="610"/>
      <c r="T30" s="610"/>
      <c r="U30" s="611"/>
      <c r="V30" s="610"/>
      <c r="W30" s="610"/>
      <c r="X30" s="601"/>
      <c r="Y30" s="601"/>
      <c r="Z30" s="601"/>
      <c r="AA30" s="601"/>
      <c r="AB30" s="601"/>
      <c r="AC30" s="601"/>
      <c r="AD30" s="601"/>
      <c r="AE30" s="601"/>
      <c r="AF30" s="601"/>
      <c r="AG30" s="601"/>
      <c r="AH30" s="601"/>
      <c r="AI30" s="601"/>
      <c r="AJ30" s="601"/>
      <c r="AK30" s="601"/>
      <c r="AL30" s="601"/>
    </row>
    <row s="2666" customFormat="1" customHeight="1" ht="15">
      <c r="U31" s="171"/>
    </row>
    <row s="2666" customFormat="1" customHeight="1" ht="15">
      <c r="A32" s="1856" t="s">
        <v>1142</v>
      </c>
      <c r="B32" s="1856"/>
      <c r="C32" s="1856"/>
      <c r="D32" s="1856"/>
      <c r="E32" s="1856"/>
      <c r="F32" s="1856"/>
      <c r="G32" s="1856"/>
      <c r="H32" s="1856"/>
      <c r="I32" s="1856"/>
      <c r="J32" s="1856"/>
      <c r="K32" s="1856"/>
      <c r="L32" s="1856"/>
      <c r="M32" s="1856"/>
      <c r="N32" s="1856"/>
      <c r="O32" s="1856"/>
      <c r="P32" s="1856"/>
      <c r="Q32" s="1856"/>
      <c r="R32" s="1856"/>
      <c r="S32" s="1856"/>
      <c r="T32" s="1856"/>
      <c r="U32" s="170"/>
      <c r="V32" s="1856"/>
      <c r="W32" s="1856"/>
    </row>
    <row s="2666" customFormat="1" customHeight="1" ht="15">
      <c r="U33" s="171"/>
    </row>
    <row s="4814" customFormat="1" customHeight="1" ht="15">
      <c r="A34" s="429"/>
      <c r="B34" s="429"/>
      <c r="C34" s="162"/>
      <c r="D34" s="1862"/>
      <c r="E34" s="1862"/>
      <c r="F34" s="1862"/>
      <c r="G34" s="1862"/>
      <c r="H34" s="1862"/>
      <c r="I34" s="1862"/>
      <c r="J34" s="1862"/>
      <c r="K34" s="1840" t="s">
        <v>438</v>
      </c>
      <c r="L34" s="1769" t="s">
        <v>108</v>
      </c>
      <c r="M34" s="817"/>
      <c r="N34" s="818"/>
      <c r="O34" s="610"/>
      <c r="P34" s="610"/>
      <c r="Q34" s="610"/>
      <c r="R34" s="610"/>
      <c r="S34" s="610"/>
      <c r="T34" s="610"/>
      <c r="U34" s="611"/>
      <c r="V34" s="610"/>
      <c r="W34" s="610"/>
      <c r="X34" s="601"/>
      <c r="Y34" s="601" t="s">
        <v>117</v>
      </c>
      <c r="Z34" s="601">
        <v>1705000</v>
      </c>
      <c r="AA34" s="601"/>
      <c r="AB34" s="601"/>
      <c r="AC34" s="601"/>
      <c r="AD34" s="601"/>
      <c r="AE34" s="601"/>
      <c r="AF34" s="601"/>
      <c r="AG34" s="601"/>
      <c r="AH34" s="601"/>
      <c r="AI34" s="601"/>
      <c r="AJ34" s="601"/>
      <c r="AK34" s="601"/>
      <c r="AL34" s="601"/>
    </row>
    <row s="2666" customFormat="1" customHeight="1" ht="15">
      <c r="U35" s="171"/>
    </row>
    <row s="2666" customFormat="1" customHeight="1" ht="15">
      <c r="U36" s="171"/>
    </row>
    <row s="4798" customFormat="1" customHeight="1" ht="11.25">
      <c r="A37" s="1856" t="s">
        <v>1143</v>
      </c>
    </row>
    <row customHeight="1" ht="11.25"/>
    <row s="3088" customFormat="1" customHeight="1" ht="22.5">
      <c r="A39" s="1832"/>
      <c r="B39" s="463"/>
      <c r="C39" s="865"/>
      <c r="D39" s="446"/>
      <c r="E39" s="866"/>
      <c r="F39" s="1853"/>
      <c r="G39" s="1863"/>
      <c r="H39" s="481"/>
    </row>
    <row customHeight="1" ht="11.25"/>
    <row s="4798" customFormat="1" customHeight="1" ht="11.25">
      <c r="A41" s="1856" t="s">
        <v>1144</v>
      </c>
    </row>
    <row customHeight="1" ht="11.25"/>
    <row s="3088" customFormat="1" customHeight="1" ht="22.5">
      <c r="A43" s="463"/>
      <c r="B43" s="463"/>
      <c r="C43" s="463"/>
      <c r="D43" s="446"/>
      <c r="E43" s="866"/>
      <c r="F43" s="867"/>
      <c r="G43" s="1863"/>
      <c r="H43" s="481"/>
    </row>
    <row r="46" s="4798" customFormat="1" customHeight="1" ht="17.25">
      <c r="A46" s="1856" t="s">
        <v>1145</v>
      </c>
    </row>
    <row r="48" s="3173" customFormat="1" customHeight="1" ht="18.75">
      <c r="A48" s="74"/>
      <c r="B48" s="1864"/>
      <c r="C48" s="1864"/>
      <c r="D48" s="1865"/>
      <c r="E48" s="1850"/>
      <c r="F48" s="874">
        <v>13</v>
      </c>
      <c r="G48" s="873"/>
      <c r="H48" s="799"/>
      <c r="I48" s="797"/>
      <c r="J48" s="526" t="s">
        <v>61</v>
      </c>
      <c r="K48" s="1866" t="s">
        <v>24</v>
      </c>
      <c r="L48" s="74"/>
      <c r="M48" s="1676"/>
      <c r="N48" s="1676"/>
      <c r="O48" s="1676"/>
      <c r="P48" s="522" t="s">
        <v>385</v>
      </c>
      <c r="Q48" s="522" t="s">
        <v>386</v>
      </c>
      <c r="R48" s="523" t="s">
        <v>387</v>
      </c>
      <c r="S48" s="1676" t="s">
        <v>388</v>
      </c>
      <c r="T48" s="1676"/>
      <c r="U48" s="1676"/>
      <c r="V48" s="1676"/>
    </row>
    <row r="50" s="4798" customFormat="1" customHeight="1" ht="11.25">
      <c r="A50" s="1856" t="s">
        <v>1146</v>
      </c>
    </row>
    <row r="52" s="2950" customFormat="1" customHeight="1" ht="14.25">
      <c r="C52" s="1728"/>
      <c r="D52" s="1912"/>
      <c r="E52" s="1818" t="s">
        <v>24</v>
      </c>
      <c r="F52" s="1911"/>
      <c r="G52" s="862"/>
      <c r="H52" s="1819"/>
      <c r="I52" s="1819"/>
      <c r="J52" s="439"/>
      <c r="K52" s="1906"/>
      <c r="L52" s="438"/>
      <c r="M52" s="1906"/>
      <c r="N52" s="439"/>
      <c r="O52" s="1906"/>
      <c r="P52" s="439"/>
      <c r="Q52" s="1906"/>
      <c r="R52" s="439"/>
      <c r="S52" s="860"/>
      <c r="T52" s="1819"/>
      <c r="U52" s="439"/>
      <c r="V52" s="439"/>
      <c r="W52" s="1910"/>
      <c r="X52" s="1819"/>
      <c r="Y52" s="439"/>
      <c r="Z52" s="439"/>
      <c r="AA52" s="1910"/>
      <c r="AB52" s="1819"/>
      <c r="AC52" s="439"/>
      <c r="AD52" s="1910"/>
      <c r="AE52" s="74"/>
      <c r="AF52" s="74"/>
      <c r="AG52" s="74"/>
      <c r="AH52" s="74"/>
      <c r="AJ52" s="1676"/>
      <c r="AK52" s="1676"/>
      <c r="AL52" s="1676"/>
      <c r="AM52" s="1676"/>
      <c r="AN52" s="1676"/>
      <c r="AO52" s="1676"/>
      <c r="AP52" s="1664" t="s">
        <v>374</v>
      </c>
      <c r="AQ52" s="1664" t="s">
        <v>374</v>
      </c>
      <c r="AR52" s="1676"/>
      <c r="AS52" s="1676"/>
    </row>
    <row r="54" s="4798" customFormat="1" customHeight="1" ht="11.25">
      <c r="A54" s="1856" t="s">
        <v>1147</v>
      </c>
    </row>
    <row r="56" s="4686" customFormat="1" customHeight="1" ht="15">
      <c r="A56" s="131" t="s">
        <v>89</v>
      </c>
      <c r="B56" s="111" t="s">
        <v>24</v>
      </c>
      <c r="C56" s="1867"/>
      <c r="D56" s="114"/>
      <c r="E56" s="387"/>
      <c r="F56" s="387"/>
      <c r="G56" s="1844"/>
      <c r="H56" s="1866"/>
      <c r="I56" s="1845"/>
      <c r="K56" s="258"/>
      <c r="L56" s="259"/>
    </row>
    <row r="58" s="4798" customFormat="1" customHeight="1" ht="11.25">
      <c r="A58" s="1856" t="s">
        <v>1148</v>
      </c>
    </row>
    <row r="60" s="2950" customFormat="1" customHeight="1" ht="14.25">
      <c r="A60" s="339"/>
      <c r="B60" s="1168"/>
      <c r="C60" s="377"/>
      <c r="D60" s="1851"/>
      <c r="E60" s="892"/>
      <c r="F60" s="1866"/>
      <c r="G60" s="74"/>
      <c r="I60" s="1664"/>
      <c r="J60" s="1664"/>
    </row>
    <row r="62" s="4798" customFormat="1" customHeight="1" ht="11.25">
      <c r="A62" s="1856" t="s">
        <v>1149</v>
      </c>
    </row>
    <row r="64" s="2950" customFormat="1" customHeight="1" ht="27">
      <c r="A64" s="1174"/>
      <c r="B64" s="1174"/>
      <c r="C64" s="1174"/>
      <c r="D64" s="1168"/>
      <c r="E64" s="1868"/>
      <c r="F64" s="2344"/>
      <c r="G64" s="2345"/>
      <c r="H64" s="2346" t="s">
        <v>61</v>
      </c>
      <c r="I64" s="2348"/>
      <c r="J64" s="2350"/>
      <c r="K64" s="2352"/>
      <c r="L64" s="2355"/>
      <c r="M64" s="2355"/>
      <c r="N64" s="2402"/>
      <c r="O64" s="2402"/>
      <c r="P64" s="2403">
        <f>DATEDIF(DATEVALUE(N64),DATEVALUE(O64),"y")&amp;"г. "&amp;DATEDIF(DATEVALUE(N64),DATEVALUE(O64),"ym")&amp;"мес. "&amp;DATEVALUE(O64)-DATE(YEAR(DATEVALUE(O64)),MONTH(DATEVALUE(O64)),1)&amp;"дн. "</f>
      </c>
      <c r="Q64" s="2357"/>
      <c r="R64" s="2357"/>
      <c r="S64" s="2357"/>
      <c r="T64" s="2350"/>
      <c r="U64" s="2357"/>
      <c r="V64" s="2357"/>
      <c r="W64" s="2357"/>
      <c r="X64" s="2350"/>
      <c r="Y64" s="2400" t="s">
        <v>61</v>
      </c>
      <c r="Z64" s="1849"/>
      <c r="AA64" s="1833">
        <v>1</v>
      </c>
      <c r="AB64" s="1260"/>
      <c r="AD64" s="1676" t="s">
        <v>1150</v>
      </c>
    </row>
    <row s="2950" customFormat="1" customHeight="1" ht="10.5">
      <c r="A65" s="1174"/>
      <c r="B65" s="1174"/>
      <c r="C65" s="1174"/>
      <c r="D65" s="1168"/>
      <c r="E65" s="954"/>
      <c r="F65" s="2344"/>
      <c r="G65" s="2345"/>
      <c r="H65" s="2347"/>
      <c r="I65" s="2349"/>
      <c r="J65" s="2351"/>
      <c r="K65" s="2352"/>
      <c r="L65" s="2355"/>
      <c r="M65" s="2355"/>
      <c r="N65" s="2402"/>
      <c r="O65" s="2402"/>
      <c r="P65" s="2403"/>
      <c r="Q65" s="2357"/>
      <c r="R65" s="2357"/>
      <c r="S65" s="2357"/>
      <c r="T65" s="2351"/>
      <c r="U65" s="2357"/>
      <c r="V65" s="2357"/>
      <c r="W65" s="2357"/>
      <c r="X65" s="2351"/>
      <c r="Y65" s="2401"/>
      <c r="Z65" s="343"/>
      <c r="AA65" s="578"/>
      <c r="AB65" s="658" t="s">
        <v>1151</v>
      </c>
    </row>
    <row r="67" s="4798" customFormat="1" customHeight="1" ht="11.25">
      <c r="A67" s="1856" t="s">
        <v>1152</v>
      </c>
    </row>
    <row r="69" s="2950" customFormat="1" customHeight="1" ht="27">
      <c r="A69" s="1174"/>
      <c r="B69" s="1174"/>
      <c r="C69" s="1174"/>
      <c r="D69" s="1168"/>
      <c r="E69" s="1868"/>
      <c r="F69" s="1838"/>
      <c r="G69" s="1787"/>
      <c r="H69" s="1788"/>
      <c r="I69" s="1789"/>
      <c r="J69" s="1790"/>
      <c r="K69" s="1791"/>
      <c r="L69" s="1792"/>
      <c r="M69" s="1792"/>
      <c r="N69" s="1793"/>
      <c r="O69" s="1793"/>
      <c r="P69" s="1794"/>
      <c r="Q69" s="1795"/>
      <c r="R69" s="1795"/>
      <c r="S69" s="1795"/>
      <c r="T69" s="1790"/>
      <c r="U69" s="1795"/>
      <c r="V69" s="1795"/>
      <c r="W69" s="1795"/>
      <c r="X69" s="1790"/>
      <c r="Y69" s="1788"/>
      <c r="Z69" s="1849"/>
      <c r="AA69" s="1833">
        <v>1</v>
      </c>
      <c r="AB69" s="1260"/>
      <c r="AD69" s="1676" t="s">
        <v>1150</v>
      </c>
    </row>
    <row r="71" s="4798" customFormat="1" customHeight="1" ht="11.25">
      <c r="A71" s="1856" t="s">
        <v>1153</v>
      </c>
    </row>
    <row customHeight="1" ht="17.25"/>
    <row s="2950" customFormat="1" customHeight="1" ht="21">
      <c r="A73" s="1175"/>
      <c r="B73" s="1174"/>
      <c r="C73" s="1174"/>
      <c r="D73" s="1168"/>
      <c r="E73" s="1178"/>
      <c r="F73" s="1130">
        <f>INDEX(IP_MAIN_LIST_NAME_IP,MATCH(A73,IP_MAIN_LIST_IP_ID,0))&amp;" ("&amp;INDEX(IP_MAIN_START_DATE,MATCH(A73,IP_MAIN_LIST_IP_ID,0))&amp;"-"&amp;INDEX(IP_MAIN_END_DATE,MATCH(A73,IP_MAIN_LIST_IP_ID,0))&amp;")"</f>
      </c>
      <c r="G73" s="1131"/>
      <c r="H73" s="1131"/>
      <c r="I73" s="1195"/>
      <c r="J73" s="1195"/>
      <c r="K73" s="1196"/>
      <c r="L73" s="1196"/>
      <c r="M73" s="1196"/>
      <c r="N73" s="1197"/>
      <c r="O73" s="1197"/>
      <c r="P73" s="1197"/>
      <c r="Q73" s="1197"/>
      <c r="R73" s="1197"/>
      <c r="S73" s="1197"/>
      <c r="T73" s="1197"/>
      <c r="U73" s="1197"/>
      <c r="V73" s="1197"/>
      <c r="W73" s="1197"/>
      <c r="X73" s="1197"/>
      <c r="Y73" s="1197"/>
      <c r="Z73" s="1197"/>
      <c r="AA73" s="1197"/>
      <c r="AB73" s="1197"/>
      <c r="AC73" s="1197"/>
      <c r="AD73" s="1197"/>
      <c r="AE73" s="1198"/>
      <c r="AF73" s="1196"/>
      <c r="AG73" s="1196"/>
      <c r="AH73" s="1196"/>
      <c r="AI73" s="1196"/>
      <c r="AJ73" s="1196"/>
      <c r="AK73" s="1196"/>
      <c r="AL73" s="1179"/>
      <c r="AM73" s="1864"/>
      <c r="AN73" s="1864"/>
      <c r="AO73" s="1864"/>
      <c r="AP73" s="1864"/>
      <c r="AQ73" s="1864"/>
      <c r="AR73" s="1864"/>
      <c r="AS73" s="1864"/>
      <c r="AT73" s="1864"/>
      <c r="AU73" s="1864"/>
      <c r="AV73" s="1864"/>
      <c r="AW73" s="1864"/>
      <c r="AX73" s="1864"/>
      <c r="AY73" s="1864"/>
      <c r="AZ73" s="1864"/>
      <c r="BA73" s="1864"/>
      <c r="BB73" s="1864"/>
      <c r="BC73" s="1864"/>
      <c r="BD73" s="1864"/>
      <c r="BE73" s="1864"/>
      <c r="BF73" s="1864"/>
    </row>
    <row s="2950" customFormat="1" customHeight="1" ht="11.25">
      <c r="A74" s="1174"/>
      <c r="B74" s="1174"/>
      <c r="C74" s="1174"/>
      <c r="D74" s="1168"/>
      <c r="E74" s="1178"/>
      <c r="F74" s="2406"/>
      <c r="G74" s="2356"/>
      <c r="H74" s="2356" t="s">
        <v>108</v>
      </c>
      <c r="I74" s="2410"/>
      <c r="J74" s="2334"/>
      <c r="K74" s="2411"/>
      <c r="L74" s="2404" t="s">
        <v>56</v>
      </c>
      <c r="M74" s="1982"/>
      <c r="N74" s="1187"/>
      <c r="O74" s="1186" t="s">
        <v>369</v>
      </c>
      <c r="P74" s="1187"/>
      <c r="Q74" s="1187"/>
      <c r="R74" s="1187"/>
      <c r="S74" s="1187"/>
      <c r="T74" s="1187"/>
      <c r="U74" s="1187"/>
      <c r="V74" s="1187"/>
      <c r="W74" s="1187"/>
      <c r="X74" s="1187"/>
      <c r="Y74" s="1187"/>
      <c r="Z74" s="1187"/>
      <c r="AA74" s="1187"/>
      <c r="AB74" s="1187"/>
      <c r="AC74" s="1187"/>
      <c r="AD74" s="1187"/>
      <c r="AE74" s="1187"/>
      <c r="AF74" s="2408"/>
      <c r="AG74" s="2404"/>
      <c r="AH74" s="2404"/>
      <c r="AI74" s="2408"/>
      <c r="AJ74" s="2404"/>
      <c r="AK74" s="2404"/>
      <c r="AL74" s="1181"/>
      <c r="AM74" s="1864"/>
      <c r="AN74" s="1864"/>
      <c r="AO74" s="1864"/>
      <c r="AP74" s="1864"/>
      <c r="AQ74" s="1864"/>
      <c r="AR74" s="1864"/>
      <c r="AS74" s="1864"/>
      <c r="AT74" s="1864"/>
      <c r="AU74" s="1864"/>
      <c r="AV74" s="1864"/>
      <c r="AW74" s="1864"/>
      <c r="AX74" s="1864"/>
      <c r="AY74" s="1864"/>
      <c r="AZ74" s="1864"/>
      <c r="BA74" s="1864"/>
      <c r="BB74" s="1864"/>
      <c r="BC74" s="1864"/>
      <c r="BD74" s="1864"/>
      <c r="BE74" s="1864"/>
      <c r="BF74" s="1864"/>
    </row>
    <row s="2950" customFormat="1" customHeight="1" ht="11.25">
      <c r="A75" s="1174"/>
      <c r="B75" s="1174"/>
      <c r="C75" s="1174"/>
      <c r="D75" s="1168"/>
      <c r="E75" s="1178"/>
      <c r="F75" s="2406"/>
      <c r="G75" s="2356"/>
      <c r="H75" s="2356"/>
      <c r="I75" s="2410"/>
      <c r="J75" s="2334"/>
      <c r="K75" s="2411"/>
      <c r="L75" s="2404"/>
      <c r="M75" s="1982"/>
      <c r="N75" s="2412"/>
      <c r="O75" s="2369">
        <v>1</v>
      </c>
      <c r="P75" s="2364" t="s">
        <v>56</v>
      </c>
      <c r="Q75" s="2367" t="s">
        <v>24</v>
      </c>
      <c r="R75" s="2367" t="s">
        <v>24</v>
      </c>
      <c r="S75" s="2367" t="s">
        <v>24</v>
      </c>
      <c r="T75" s="2367" t="s">
        <v>24</v>
      </c>
      <c r="U75" s="2367" t="s">
        <v>24</v>
      </c>
      <c r="V75" s="2367" t="s">
        <v>24</v>
      </c>
      <c r="W75" s="2367" t="s">
        <v>24</v>
      </c>
      <c r="X75" s="2367" t="s">
        <v>24</v>
      </c>
      <c r="Y75" s="2367"/>
      <c r="Z75" s="1184"/>
      <c r="AA75" s="1185"/>
      <c r="AB75" s="1185"/>
      <c r="AC75" s="1189"/>
      <c r="AD75" s="1189"/>
      <c r="AE75" s="1190"/>
      <c r="AF75" s="2408"/>
      <c r="AG75" s="2404"/>
      <c r="AH75" s="2404"/>
      <c r="AI75" s="2408"/>
      <c r="AJ75" s="2404"/>
      <c r="AK75" s="2404"/>
      <c r="AL75" s="1181"/>
      <c r="AM75" s="1864"/>
      <c r="AN75" s="1864"/>
      <c r="AO75" s="1864"/>
      <c r="AP75" s="1864"/>
      <c r="AQ75" s="1864"/>
      <c r="AR75" s="1864"/>
      <c r="AS75" s="1864"/>
      <c r="AT75" s="1864"/>
      <c r="AU75" s="1864"/>
      <c r="AV75" s="1864"/>
      <c r="AW75" s="1864"/>
      <c r="AX75" s="1864"/>
      <c r="AY75" s="1864"/>
      <c r="AZ75" s="1864"/>
      <c r="BA75" s="1864"/>
      <c r="BB75" s="1864"/>
      <c r="BC75" s="1864"/>
      <c r="BD75" s="1864"/>
      <c r="BE75" s="1864"/>
      <c r="BF75" s="1864"/>
    </row>
    <row s="2950" customFormat="1" customHeight="1" ht="11.25">
      <c r="A76" s="1174"/>
      <c r="B76" s="1174"/>
      <c r="C76" s="1174"/>
      <c r="D76" s="1168"/>
      <c r="E76" s="1178"/>
      <c r="F76" s="2406"/>
      <c r="G76" s="2356"/>
      <c r="H76" s="2356"/>
      <c r="I76" s="2410"/>
      <c r="J76" s="2334"/>
      <c r="K76" s="2411"/>
      <c r="L76" s="2404"/>
      <c r="M76" s="1982"/>
      <c r="N76" s="2412"/>
      <c r="O76" s="2369"/>
      <c r="P76" s="2365"/>
      <c r="Q76" s="2367"/>
      <c r="R76" s="2367"/>
      <c r="S76" s="2409"/>
      <c r="T76" s="2367"/>
      <c r="U76" s="2367"/>
      <c r="V76" s="2367"/>
      <c r="W76" s="2367"/>
      <c r="X76" s="2367"/>
      <c r="Y76" s="2367"/>
      <c r="Z76" s="1869"/>
      <c r="AA76" s="1835">
        <v>1</v>
      </c>
      <c r="AB76" s="1188"/>
      <c r="AC76" s="1177"/>
      <c r="AD76" s="1188">
        <f>AB76</f>
        <v>0</v>
      </c>
      <c r="AE76" s="1177"/>
      <c r="AF76" s="2408"/>
      <c r="AG76" s="2404"/>
      <c r="AH76" s="2404"/>
      <c r="AI76" s="2408"/>
      <c r="AJ76" s="2404"/>
      <c r="AK76" s="2404"/>
      <c r="AL76" s="1181"/>
      <c r="AM76" s="1864"/>
      <c r="AN76" s="1864"/>
      <c r="AO76" s="1864"/>
      <c r="AP76" s="1864"/>
      <c r="AQ76" s="1864"/>
      <c r="AR76" s="1864"/>
      <c r="AS76" s="1864"/>
      <c r="AT76" s="1864"/>
      <c r="AU76" s="1864"/>
      <c r="AV76" s="1864"/>
      <c r="AW76" s="1864"/>
      <c r="AX76" s="1864"/>
      <c r="AY76" s="1864"/>
      <c r="AZ76" s="1864"/>
      <c r="BA76" s="1864"/>
      <c r="BB76" s="1864"/>
      <c r="BC76" s="1864"/>
      <c r="BD76" s="1864"/>
      <c r="BE76" s="1864"/>
      <c r="BF76" s="1864"/>
    </row>
    <row s="2950" customFormat="1" customHeight="1" ht="11.25">
      <c r="A77" s="1174"/>
      <c r="B77" s="1174"/>
      <c r="C77" s="1174"/>
      <c r="D77" s="1168"/>
      <c r="E77" s="1178"/>
      <c r="F77" s="2406"/>
      <c r="G77" s="2356"/>
      <c r="H77" s="2356"/>
      <c r="I77" s="2410"/>
      <c r="J77" s="2334"/>
      <c r="K77" s="2411"/>
      <c r="L77" s="2404"/>
      <c r="M77" s="1982"/>
      <c r="N77" s="2412"/>
      <c r="O77" s="2369"/>
      <c r="P77" s="2366"/>
      <c r="Q77" s="2367"/>
      <c r="R77" s="2367"/>
      <c r="S77" s="2409"/>
      <c r="T77" s="2367"/>
      <c r="U77" s="2367"/>
      <c r="V77" s="2367"/>
      <c r="W77" s="2367"/>
      <c r="X77" s="2367"/>
      <c r="Y77" s="2367"/>
      <c r="Z77" s="1184"/>
      <c r="AA77" s="1185"/>
      <c r="AB77" s="1259" t="s">
        <v>1154</v>
      </c>
      <c r="AC77" s="1189"/>
      <c r="AD77" s="1189"/>
      <c r="AE77" s="1191"/>
      <c r="AF77" s="2408"/>
      <c r="AG77" s="2404"/>
      <c r="AH77" s="2404"/>
      <c r="AI77" s="2408"/>
      <c r="AJ77" s="2404"/>
      <c r="AK77" s="2404"/>
      <c r="AL77" s="1181"/>
      <c r="AM77" s="1864"/>
      <c r="AN77" s="1864"/>
      <c r="AO77" s="1864"/>
      <c r="AP77" s="1864"/>
      <c r="AQ77" s="1864"/>
      <c r="AR77" s="1864"/>
      <c r="AS77" s="1864"/>
      <c r="AT77" s="1864"/>
      <c r="AU77" s="1864"/>
      <c r="AV77" s="1864"/>
      <c r="AW77" s="1864"/>
      <c r="AX77" s="1864"/>
      <c r="AY77" s="1864"/>
      <c r="AZ77" s="1864"/>
      <c r="BA77" s="1864"/>
      <c r="BB77" s="1864"/>
      <c r="BC77" s="1864"/>
      <c r="BD77" s="1864"/>
      <c r="BE77" s="1864"/>
      <c r="BF77" s="1864"/>
    </row>
    <row s="2950" customFormat="1" customHeight="1" ht="11.25">
      <c r="A78" s="1174"/>
      <c r="B78" s="1174"/>
      <c r="C78" s="1174"/>
      <c r="D78" s="1168"/>
      <c r="E78" s="1178"/>
      <c r="F78" s="2406"/>
      <c r="G78" s="2356"/>
      <c r="H78" s="2356"/>
      <c r="I78" s="2410"/>
      <c r="J78" s="2334"/>
      <c r="K78" s="2411"/>
      <c r="L78" s="2404"/>
      <c r="M78" s="1982"/>
      <c r="N78" s="1185"/>
      <c r="O78" s="1185"/>
      <c r="P78" s="1176" t="s">
        <v>1155</v>
      </c>
      <c r="Q78" s="1185"/>
      <c r="R78" s="1185"/>
      <c r="S78" s="1185"/>
      <c r="T78" s="1185"/>
      <c r="U78" s="1185"/>
      <c r="V78" s="1185"/>
      <c r="W78" s="1185"/>
      <c r="X78" s="1185"/>
      <c r="Y78" s="1185"/>
      <c r="Z78" s="1185"/>
      <c r="AA78" s="1185"/>
      <c r="AB78" s="1185"/>
      <c r="AC78" s="1185"/>
      <c r="AD78" s="1185"/>
      <c r="AE78" s="1192"/>
      <c r="AF78" s="2408"/>
      <c r="AG78" s="2404"/>
      <c r="AH78" s="2404"/>
      <c r="AI78" s="2408"/>
      <c r="AJ78" s="2404"/>
      <c r="AK78" s="2404"/>
      <c r="AL78" s="1181"/>
      <c r="AM78" s="1864"/>
      <c r="AN78" s="1864"/>
      <c r="AO78" s="1864"/>
      <c r="AP78" s="1864"/>
      <c r="AQ78" s="1864"/>
      <c r="AR78" s="1864"/>
      <c r="AS78" s="1864"/>
      <c r="AT78" s="1864"/>
      <c r="AU78" s="1864"/>
      <c r="AV78" s="1864"/>
      <c r="AW78" s="1864"/>
      <c r="AX78" s="1864"/>
      <c r="AY78" s="1864"/>
      <c r="AZ78" s="1864"/>
      <c r="BA78" s="1864"/>
      <c r="BB78" s="1864"/>
      <c r="BC78" s="1864"/>
      <c r="BD78" s="1864"/>
      <c r="BE78" s="1864"/>
      <c r="BF78" s="1864"/>
    </row>
    <row s="2950" customFormat="1" customHeight="1" ht="12">
      <c r="A79" s="1174"/>
      <c r="B79" s="1174"/>
      <c r="C79" s="1174"/>
      <c r="D79" s="1168"/>
      <c r="E79" s="1178"/>
      <c r="F79" s="2407"/>
      <c r="G79" s="1200"/>
      <c r="H79" s="1200"/>
      <c r="I79" s="2405" t="s">
        <v>1156</v>
      </c>
      <c r="J79" s="2405"/>
      <c r="K79" s="2405"/>
      <c r="L79" s="1182"/>
      <c r="M79" s="1182"/>
      <c r="N79" s="1183"/>
      <c r="O79" s="1183"/>
      <c r="P79" s="1183"/>
      <c r="Q79" s="1183"/>
      <c r="R79" s="1183"/>
      <c r="S79" s="1183"/>
      <c r="T79" s="1183"/>
      <c r="U79" s="1183"/>
      <c r="V79" s="1183"/>
      <c r="W79" s="1183"/>
      <c r="X79" s="1183"/>
      <c r="Y79" s="1183"/>
      <c r="Z79" s="1183"/>
      <c r="AA79" s="1183"/>
      <c r="AB79" s="1183"/>
      <c r="AC79" s="1183"/>
      <c r="AD79" s="1183"/>
      <c r="AE79" s="1183"/>
      <c r="AF79" s="1183"/>
      <c r="AG79" s="1182"/>
      <c r="AH79" s="1182"/>
      <c r="AI79" s="1183"/>
      <c r="AJ79" s="1182"/>
      <c r="AK79" s="1193"/>
      <c r="AL79" s="1181"/>
      <c r="AM79" s="1864"/>
      <c r="AN79" s="1864"/>
      <c r="AO79" s="1864"/>
      <c r="AP79" s="1864"/>
      <c r="AQ79" s="1864"/>
      <c r="AR79" s="1864"/>
      <c r="AS79" s="1864"/>
      <c r="AT79" s="1864"/>
      <c r="AU79" s="1864"/>
      <c r="AV79" s="1864"/>
      <c r="AW79" s="1864"/>
      <c r="AX79" s="1864"/>
      <c r="AY79" s="1864"/>
      <c r="AZ79" s="1864"/>
      <c r="BA79" s="1864"/>
      <c r="BB79" s="1864"/>
      <c r="BC79" s="1864"/>
      <c r="BD79" s="1864"/>
      <c r="BE79" s="1864"/>
      <c r="BF79" s="1864"/>
    </row>
    <row r="81" s="4798" customFormat="1" customHeight="1" ht="11.25">
      <c r="A81" s="1856" t="s">
        <v>1157</v>
      </c>
    </row>
    <row r="83" s="2950" customFormat="1" customHeight="1" ht="11.25">
      <c r="A83" s="1174"/>
      <c r="B83" s="1174"/>
      <c r="C83" s="1174"/>
      <c r="D83" s="1168"/>
      <c r="E83" s="1178"/>
      <c r="F83" s="1870"/>
      <c r="G83" s="1871"/>
      <c r="H83" s="1871"/>
      <c r="I83" s="1804"/>
      <c r="J83" s="1804"/>
      <c r="K83" s="1872"/>
      <c r="L83" s="1804"/>
      <c r="M83" s="1871"/>
      <c r="N83" s="2368"/>
      <c r="O83" s="2369">
        <v>1</v>
      </c>
      <c r="P83" s="2364" t="s">
        <v>56</v>
      </c>
      <c r="Q83" s="2367" t="s">
        <v>24</v>
      </c>
      <c r="R83" s="2367" t="s">
        <v>24</v>
      </c>
      <c r="S83" s="2367" t="s">
        <v>24</v>
      </c>
      <c r="T83" s="2367" t="s">
        <v>24</v>
      </c>
      <c r="U83" s="2367" t="s">
        <v>24</v>
      </c>
      <c r="V83" s="2367" t="s">
        <v>24</v>
      </c>
      <c r="W83" s="2367" t="s">
        <v>24</v>
      </c>
      <c r="X83" s="2367" t="s">
        <v>24</v>
      </c>
      <c r="Y83" s="2367"/>
      <c r="Z83" s="1184"/>
      <c r="AA83" s="1185"/>
      <c r="AB83" s="1185"/>
      <c r="AC83" s="1189"/>
      <c r="AD83" s="1189"/>
      <c r="AE83" s="1189"/>
      <c r="AF83" s="1873"/>
      <c r="AG83" s="1799"/>
      <c r="AH83" s="1799"/>
      <c r="AI83" s="1873"/>
      <c r="AJ83" s="1799"/>
      <c r="AK83" s="1799"/>
      <c r="AL83" s="1181"/>
      <c r="AM83" s="1864"/>
      <c r="AN83" s="1864"/>
      <c r="AO83" s="1864"/>
      <c r="AP83" s="1864"/>
      <c r="AQ83" s="1864"/>
      <c r="AR83" s="1864"/>
      <c r="AS83" s="1864"/>
      <c r="AT83" s="1864"/>
      <c r="AU83" s="1864"/>
      <c r="AV83" s="1864"/>
      <c r="AW83" s="1864"/>
      <c r="AX83" s="1864"/>
      <c r="AY83" s="1864"/>
      <c r="AZ83" s="1864"/>
      <c r="BA83" s="1864"/>
      <c r="BB83" s="1864"/>
      <c r="BC83" s="1864"/>
      <c r="BD83" s="1864"/>
      <c r="BE83" s="1864"/>
      <c r="BF83" s="1864"/>
    </row>
    <row s="2950" customFormat="1" customHeight="1" ht="11.25">
      <c r="A84" s="1174"/>
      <c r="B84" s="1174"/>
      <c r="C84" s="1174"/>
      <c r="D84" s="1168"/>
      <c r="E84" s="1178"/>
      <c r="F84" s="1870"/>
      <c r="G84" s="1871"/>
      <c r="H84" s="1871"/>
      <c r="I84" s="1805"/>
      <c r="J84" s="1805"/>
      <c r="K84" s="1872"/>
      <c r="L84" s="1805"/>
      <c r="M84" s="1871"/>
      <c r="N84" s="2368"/>
      <c r="O84" s="2369"/>
      <c r="P84" s="2365"/>
      <c r="Q84" s="2367"/>
      <c r="R84" s="2367"/>
      <c r="S84" s="2409"/>
      <c r="T84" s="2367"/>
      <c r="U84" s="2367"/>
      <c r="V84" s="2367"/>
      <c r="W84" s="2367"/>
      <c r="X84" s="2367"/>
      <c r="Y84" s="2367"/>
      <c r="Z84" s="1869"/>
      <c r="AA84" s="1835">
        <v>1</v>
      </c>
      <c r="AB84" s="1188"/>
      <c r="AC84" s="1177"/>
      <c r="AD84" s="1188">
        <f>AB84</f>
        <v>0</v>
      </c>
      <c r="AE84" s="730"/>
      <c r="AF84" s="1872"/>
      <c r="AG84" s="1799"/>
      <c r="AH84" s="1799"/>
      <c r="AI84" s="1872"/>
      <c r="AJ84" s="1799"/>
      <c r="AK84" s="1799"/>
      <c r="AL84" s="1181"/>
      <c r="AM84" s="1864"/>
      <c r="AN84" s="1864"/>
      <c r="AO84" s="1864"/>
      <c r="AP84" s="1864"/>
      <c r="AQ84" s="1864"/>
      <c r="AR84" s="1864"/>
      <c r="AS84" s="1864"/>
      <c r="AT84" s="1864"/>
      <c r="AU84" s="1864"/>
      <c r="AV84" s="1864"/>
      <c r="AW84" s="1864"/>
      <c r="AX84" s="1864"/>
      <c r="AY84" s="1864"/>
      <c r="AZ84" s="1864"/>
      <c r="BA84" s="1864"/>
      <c r="BB84" s="1864"/>
      <c r="BC84" s="1864"/>
      <c r="BD84" s="1864"/>
      <c r="BE84" s="1864"/>
      <c r="BF84" s="1864"/>
    </row>
    <row s="2950" customFormat="1" customHeight="1" ht="11.25">
      <c r="A85" s="1174"/>
      <c r="B85" s="1174"/>
      <c r="C85" s="1174"/>
      <c r="D85" s="1168"/>
      <c r="E85" s="1178"/>
      <c r="F85" s="1870"/>
      <c r="G85" s="1871"/>
      <c r="H85" s="1871"/>
      <c r="I85" s="1806"/>
      <c r="J85" s="1806"/>
      <c r="K85" s="1872"/>
      <c r="L85" s="1806"/>
      <c r="M85" s="1871"/>
      <c r="N85" s="2368"/>
      <c r="O85" s="2369"/>
      <c r="P85" s="2366"/>
      <c r="Q85" s="2367"/>
      <c r="R85" s="2367"/>
      <c r="S85" s="2409"/>
      <c r="T85" s="2367"/>
      <c r="U85" s="2367"/>
      <c r="V85" s="2367"/>
      <c r="W85" s="2367"/>
      <c r="X85" s="2367"/>
      <c r="Y85" s="2367"/>
      <c r="Z85" s="1184"/>
      <c r="AA85" s="1185"/>
      <c r="AB85" s="1259" t="s">
        <v>1154</v>
      </c>
      <c r="AC85" s="1189"/>
      <c r="AD85" s="1189"/>
      <c r="AE85" s="1189"/>
      <c r="AF85" s="1874"/>
      <c r="AG85" s="1799"/>
      <c r="AH85" s="1799"/>
      <c r="AI85" s="1874"/>
      <c r="AJ85" s="1799"/>
      <c r="AK85" s="1799"/>
      <c r="AL85" s="1181"/>
      <c r="AM85" s="1864"/>
      <c r="AN85" s="1864"/>
      <c r="AO85" s="1864"/>
      <c r="AP85" s="1864"/>
      <c r="AQ85" s="1864"/>
      <c r="AR85" s="1864"/>
      <c r="AS85" s="1864"/>
      <c r="AT85" s="1864"/>
      <c r="AU85" s="1864"/>
      <c r="AV85" s="1864"/>
      <c r="AW85" s="1864"/>
      <c r="AX85" s="1864"/>
      <c r="AY85" s="1864"/>
      <c r="AZ85" s="1864"/>
      <c r="BA85" s="1864"/>
      <c r="BB85" s="1864"/>
      <c r="BC85" s="1864"/>
      <c r="BD85" s="1864"/>
      <c r="BE85" s="1864"/>
      <c r="BF85" s="1864"/>
    </row>
    <row r="87" s="4798" customFormat="1" customHeight="1" ht="11.25">
      <c r="A87" s="1856" t="s">
        <v>1158</v>
      </c>
    </row>
    <row r="89" s="2950" customFormat="1" customHeight="1" ht="11.25">
      <c r="A89" s="1174"/>
      <c r="B89" s="1174"/>
      <c r="C89" s="1174"/>
      <c r="D89" s="1168"/>
      <c r="E89" s="1178"/>
      <c r="F89" s="1871"/>
      <c r="G89" s="1871"/>
      <c r="H89" s="1871"/>
      <c r="I89" s="1871"/>
      <c r="J89" s="1871"/>
      <c r="K89" s="1871"/>
      <c r="L89" s="1871"/>
      <c r="M89" s="1871"/>
      <c r="N89" s="1871"/>
      <c r="O89" s="1871"/>
      <c r="P89" s="1871"/>
      <c r="Q89" s="1871"/>
      <c r="R89" s="1871"/>
      <c r="S89" s="1871"/>
      <c r="T89" s="1871"/>
      <c r="U89" s="1871"/>
      <c r="V89" s="1871"/>
      <c r="W89" s="1871"/>
      <c r="X89" s="1871"/>
      <c r="Y89" s="1871"/>
      <c r="Z89" s="1875"/>
      <c r="AA89" s="1855">
        <v>1</v>
      </c>
      <c r="AB89" s="1188"/>
      <c r="AC89" s="1177"/>
      <c r="AD89" s="1188">
        <f>AB89</f>
        <v>0</v>
      </c>
      <c r="AE89" s="1177"/>
      <c r="AF89" s="1872"/>
      <c r="AG89" s="1799"/>
      <c r="AH89" s="1799"/>
      <c r="AI89" s="1872"/>
      <c r="AJ89" s="1799"/>
      <c r="AK89" s="1799"/>
      <c r="AL89" s="1181"/>
      <c r="AM89" s="1864"/>
      <c r="AN89" s="1864"/>
      <c r="AO89" s="1864"/>
      <c r="AP89" s="1864"/>
      <c r="AQ89" s="1864"/>
      <c r="AR89" s="1864"/>
      <c r="AS89" s="1864"/>
      <c r="AT89" s="1864"/>
      <c r="AU89" s="1864"/>
      <c r="AV89" s="1864"/>
      <c r="AW89" s="1864"/>
      <c r="AX89" s="1864"/>
      <c r="AY89" s="1864"/>
      <c r="AZ89" s="1864"/>
      <c r="BA89" s="1864"/>
      <c r="BB89" s="1864"/>
      <c r="BC89" s="1864"/>
      <c r="BD89" s="1864"/>
      <c r="BE89" s="1864"/>
      <c r="BF89" s="1864"/>
    </row>
    <row r="91" s="4798" customFormat="1" customHeight="1" ht="11.25">
      <c r="A91" s="1856" t="s">
        <v>1159</v>
      </c>
    </row>
    <row r="93" s="2950" customFormat="1" customHeight="1" ht="11.25">
      <c r="A93" s="1174"/>
      <c r="B93" s="1174"/>
      <c r="C93" s="1174"/>
      <c r="D93" s="1168"/>
      <c r="E93" s="1178"/>
      <c r="F93" s="1870"/>
      <c r="G93" s="1871"/>
      <c r="H93" s="2356" t="s">
        <v>108</v>
      </c>
      <c r="I93" s="2410"/>
      <c r="J93" s="2334"/>
      <c r="K93" s="2411"/>
      <c r="L93" s="2404" t="s">
        <v>56</v>
      </c>
      <c r="M93" s="1982"/>
      <c r="N93" s="1187"/>
      <c r="O93" s="1186" t="s">
        <v>369</v>
      </c>
      <c r="P93" s="1187"/>
      <c r="Q93" s="1187"/>
      <c r="R93" s="1187"/>
      <c r="S93" s="1187"/>
      <c r="T93" s="1187"/>
      <c r="U93" s="1187"/>
      <c r="V93" s="1187"/>
      <c r="W93" s="1187"/>
      <c r="X93" s="1187"/>
      <c r="Y93" s="1187"/>
      <c r="Z93" s="1187"/>
      <c r="AA93" s="1187"/>
      <c r="AB93" s="1187"/>
      <c r="AC93" s="1187"/>
      <c r="AD93" s="1187"/>
      <c r="AE93" s="1187"/>
      <c r="AF93" s="2408"/>
      <c r="AG93" s="2404"/>
      <c r="AH93" s="2404"/>
      <c r="AI93" s="2408"/>
      <c r="AJ93" s="2404"/>
      <c r="AK93" s="2404"/>
      <c r="AL93" s="1181"/>
      <c r="AM93" s="1864"/>
      <c r="AN93" s="1864"/>
      <c r="AO93" s="1864"/>
      <c r="AP93" s="1864"/>
      <c r="AQ93" s="1864"/>
      <c r="AR93" s="1864"/>
      <c r="AS93" s="1864"/>
      <c r="AT93" s="1864"/>
      <c r="AU93" s="1864"/>
      <c r="AV93" s="1864"/>
      <c r="AW93" s="1864"/>
      <c r="AX93" s="1864"/>
      <c r="AY93" s="1864"/>
      <c r="AZ93" s="1864"/>
      <c r="BA93" s="1864"/>
      <c r="BB93" s="1864"/>
      <c r="BC93" s="1864"/>
      <c r="BD93" s="1864"/>
      <c r="BE93" s="1864"/>
      <c r="BF93" s="1864"/>
    </row>
    <row s="2950" customFormat="1" customHeight="1" ht="11.25">
      <c r="A94" s="1174"/>
      <c r="B94" s="1174"/>
      <c r="C94" s="1174"/>
      <c r="D94" s="1168"/>
      <c r="E94" s="1178"/>
      <c r="F94" s="1870"/>
      <c r="G94" s="1871"/>
      <c r="H94" s="2356"/>
      <c r="I94" s="2410"/>
      <c r="J94" s="2334"/>
      <c r="K94" s="2411"/>
      <c r="L94" s="2404"/>
      <c r="M94" s="1982"/>
      <c r="N94" s="2412"/>
      <c r="O94" s="2369">
        <v>1</v>
      </c>
      <c r="P94" s="2364" t="s">
        <v>56</v>
      </c>
      <c r="Q94" s="2367" t="s">
        <v>24</v>
      </c>
      <c r="R94" s="2367" t="s">
        <v>24</v>
      </c>
      <c r="S94" s="2367" t="s">
        <v>24</v>
      </c>
      <c r="T94" s="2367" t="s">
        <v>24</v>
      </c>
      <c r="U94" s="2367" t="s">
        <v>24</v>
      </c>
      <c r="V94" s="2367" t="s">
        <v>24</v>
      </c>
      <c r="W94" s="2367" t="s">
        <v>24</v>
      </c>
      <c r="X94" s="2367" t="s">
        <v>24</v>
      </c>
      <c r="Y94" s="2367"/>
      <c r="Z94" s="1184"/>
      <c r="AA94" s="1185"/>
      <c r="AB94" s="1185"/>
      <c r="AC94" s="1189"/>
      <c r="AD94" s="1189"/>
      <c r="AE94" s="1190"/>
      <c r="AF94" s="2408"/>
      <c r="AG94" s="2404"/>
      <c r="AH94" s="2404"/>
      <c r="AI94" s="2408"/>
      <c r="AJ94" s="2404"/>
      <c r="AK94" s="2404"/>
      <c r="AL94" s="1181"/>
      <c r="AM94" s="1864"/>
      <c r="AN94" s="1864"/>
      <c r="AO94" s="1864"/>
      <c r="AP94" s="1864"/>
      <c r="AQ94" s="1864"/>
      <c r="AR94" s="1864"/>
      <c r="AS94" s="1864"/>
      <c r="AT94" s="1864"/>
      <c r="AU94" s="1864"/>
      <c r="AV94" s="1864"/>
      <c r="AW94" s="1864"/>
      <c r="AX94" s="1864"/>
      <c r="AY94" s="1864"/>
      <c r="AZ94" s="1864"/>
      <c r="BA94" s="1864"/>
      <c r="BB94" s="1864"/>
      <c r="BC94" s="1864"/>
      <c r="BD94" s="1864"/>
      <c r="BE94" s="1864"/>
      <c r="BF94" s="1864"/>
    </row>
    <row s="2950" customFormat="1" customHeight="1" ht="11.25">
      <c r="A95" s="1174"/>
      <c r="B95" s="1174"/>
      <c r="C95" s="1174"/>
      <c r="D95" s="1168"/>
      <c r="E95" s="1178"/>
      <c r="F95" s="1870"/>
      <c r="G95" s="1871"/>
      <c r="H95" s="2356"/>
      <c r="I95" s="2410"/>
      <c r="J95" s="2334"/>
      <c r="K95" s="2411"/>
      <c r="L95" s="2404"/>
      <c r="M95" s="1982"/>
      <c r="N95" s="2412"/>
      <c r="O95" s="2369"/>
      <c r="P95" s="2365"/>
      <c r="Q95" s="2367"/>
      <c r="R95" s="2367"/>
      <c r="S95" s="2409"/>
      <c r="T95" s="2367"/>
      <c r="U95" s="2367"/>
      <c r="V95" s="2367"/>
      <c r="W95" s="2367"/>
      <c r="X95" s="2367"/>
      <c r="Y95" s="2367"/>
      <c r="Z95" s="1869"/>
      <c r="AA95" s="1835">
        <v>1</v>
      </c>
      <c r="AB95" s="1188"/>
      <c r="AC95" s="1177"/>
      <c r="AD95" s="1188">
        <f>AB95</f>
        <v>0</v>
      </c>
      <c r="AE95" s="1177"/>
      <c r="AF95" s="2408"/>
      <c r="AG95" s="2404"/>
      <c r="AH95" s="2404"/>
      <c r="AI95" s="2408"/>
      <c r="AJ95" s="2404"/>
      <c r="AK95" s="2404"/>
      <c r="AL95" s="1181"/>
      <c r="AM95" s="1864"/>
      <c r="AN95" s="1864"/>
      <c r="AO95" s="1864"/>
      <c r="AP95" s="1864"/>
      <c r="AQ95" s="1864"/>
      <c r="AR95" s="1864"/>
      <c r="AS95" s="1864"/>
      <c r="AT95" s="1864"/>
      <c r="AU95" s="1864"/>
      <c r="AV95" s="1864"/>
      <c r="AW95" s="1864"/>
      <c r="AX95" s="1864"/>
      <c r="AY95" s="1864"/>
      <c r="AZ95" s="1864"/>
      <c r="BA95" s="1864"/>
      <c r="BB95" s="1864"/>
      <c r="BC95" s="1864"/>
      <c r="BD95" s="1864"/>
      <c r="BE95" s="1864"/>
      <c r="BF95" s="1864"/>
    </row>
    <row s="2950" customFormat="1" customHeight="1" ht="11.25">
      <c r="A96" s="1174"/>
      <c r="B96" s="1174"/>
      <c r="C96" s="1174"/>
      <c r="D96" s="1168"/>
      <c r="E96" s="1178"/>
      <c r="F96" s="1870"/>
      <c r="G96" s="1871"/>
      <c r="H96" s="2356"/>
      <c r="I96" s="2410"/>
      <c r="J96" s="2334"/>
      <c r="K96" s="2411"/>
      <c r="L96" s="2404"/>
      <c r="M96" s="1982"/>
      <c r="N96" s="2412"/>
      <c r="O96" s="2369"/>
      <c r="P96" s="2366"/>
      <c r="Q96" s="2367"/>
      <c r="R96" s="2367"/>
      <c r="S96" s="2409"/>
      <c r="T96" s="2367"/>
      <c r="U96" s="2367"/>
      <c r="V96" s="2367"/>
      <c r="W96" s="2367"/>
      <c r="X96" s="2367"/>
      <c r="Y96" s="2367"/>
      <c r="Z96" s="1184"/>
      <c r="AA96" s="1185"/>
      <c r="AB96" s="1259" t="s">
        <v>1154</v>
      </c>
      <c r="AC96" s="1189"/>
      <c r="AD96" s="1189"/>
      <c r="AE96" s="1191"/>
      <c r="AF96" s="2408"/>
      <c r="AG96" s="2404"/>
      <c r="AH96" s="2404"/>
      <c r="AI96" s="2408"/>
      <c r="AJ96" s="2404"/>
      <c r="AK96" s="2404"/>
      <c r="AL96" s="1181"/>
      <c r="AM96" s="1864"/>
      <c r="AN96" s="1864"/>
      <c r="AO96" s="1864"/>
      <c r="AP96" s="1864"/>
      <c r="AQ96" s="1864"/>
      <c r="AR96" s="1864"/>
      <c r="AS96" s="1864"/>
      <c r="AT96" s="1864"/>
      <c r="AU96" s="1864"/>
      <c r="AV96" s="1864"/>
      <c r="AW96" s="1864"/>
      <c r="AX96" s="1864"/>
      <c r="AY96" s="1864"/>
      <c r="AZ96" s="1864"/>
      <c r="BA96" s="1864"/>
      <c r="BB96" s="1864"/>
      <c r="BC96" s="1864"/>
      <c r="BD96" s="1864"/>
      <c r="BE96" s="1864"/>
      <c r="BF96" s="1864"/>
    </row>
    <row s="2950" customFormat="1" customHeight="1" ht="11.25">
      <c r="A97" s="1174"/>
      <c r="B97" s="1174"/>
      <c r="C97" s="1174"/>
      <c r="D97" s="1168"/>
      <c r="E97" s="1178"/>
      <c r="F97" s="1870"/>
      <c r="G97" s="1871"/>
      <c r="H97" s="2356"/>
      <c r="I97" s="2410"/>
      <c r="J97" s="2334"/>
      <c r="K97" s="2411"/>
      <c r="L97" s="2404"/>
      <c r="M97" s="1982"/>
      <c r="N97" s="1185"/>
      <c r="O97" s="1185"/>
      <c r="P97" s="1176" t="s">
        <v>1155</v>
      </c>
      <c r="Q97" s="1185"/>
      <c r="R97" s="1185"/>
      <c r="S97" s="1185"/>
      <c r="T97" s="1185"/>
      <c r="U97" s="1185"/>
      <c r="V97" s="1185"/>
      <c r="W97" s="1185"/>
      <c r="X97" s="1185"/>
      <c r="Y97" s="1185"/>
      <c r="Z97" s="1185"/>
      <c r="AA97" s="1185"/>
      <c r="AB97" s="1185"/>
      <c r="AC97" s="1185"/>
      <c r="AD97" s="1185"/>
      <c r="AE97" s="1192"/>
      <c r="AF97" s="2408"/>
      <c r="AG97" s="2404"/>
      <c r="AH97" s="2404"/>
      <c r="AI97" s="2408"/>
      <c r="AJ97" s="2404"/>
      <c r="AK97" s="2404"/>
      <c r="AL97" s="1181"/>
      <c r="AM97" s="1864"/>
      <c r="AN97" s="1864"/>
      <c r="AO97" s="1864"/>
      <c r="AP97" s="1864"/>
      <c r="AQ97" s="1864"/>
      <c r="AR97" s="1864"/>
      <c r="AS97" s="1864"/>
      <c r="AT97" s="1864"/>
      <c r="AU97" s="1864"/>
      <c r="AV97" s="1864"/>
      <c r="AW97" s="1864"/>
      <c r="AX97" s="1864"/>
      <c r="AY97" s="1864"/>
      <c r="AZ97" s="1864"/>
      <c r="BA97" s="1864"/>
      <c r="BB97" s="1864"/>
      <c r="BC97" s="1864"/>
      <c r="BD97" s="1864"/>
      <c r="BE97" s="1864"/>
      <c r="BF97" s="1864"/>
    </row>
    <row r="99" s="4798" customFormat="1" customHeight="1" ht="11.25">
      <c r="A99" s="1856" t="s">
        <v>1160</v>
      </c>
    </row>
    <row customHeight="1" ht="17.25"/>
    <row s="4447" customFormat="1" customHeight="1" ht="21">
      <c r="A101" s="1175"/>
      <c r="B101" s="946"/>
      <c r="D101" s="930"/>
      <c r="E101" s="945" t="s">
        <v>24</v>
      </c>
      <c r="F101" s="1129">
        <f>INDEX(IP_MAIN_LIST_NAME_IP,MATCH(A101,IP_MAIN_LIST_IP_ID,0))&amp;" ("&amp;INDEX(IP_MAIN_START_DATE,MATCH(A101,IP_MAIN_LIST_IP_ID,0))&amp;"-"&amp;INDEX(IP_MAIN_END_DATE,MATCH(A101,IP_MAIN_LIST_IP_ID,0))&amp;")"</f>
      </c>
      <c r="G101" s="1213"/>
      <c r="H101" s="1214"/>
      <c r="I101" s="1214"/>
      <c r="J101" s="1214"/>
      <c r="K101" s="1214"/>
      <c r="L101" s="1214"/>
      <c r="M101" s="1214"/>
      <c r="N101" s="1214"/>
      <c r="O101" s="1213"/>
      <c r="P101" s="1213"/>
      <c r="Q101" s="1213"/>
      <c r="R101" s="1213"/>
      <c r="S101" s="1213"/>
      <c r="T101" s="1213"/>
      <c r="U101" s="1215"/>
      <c r="V101" s="1215"/>
      <c r="W101" s="1215"/>
      <c r="X101" s="1215"/>
      <c r="Y101" s="1215"/>
      <c r="Z101" s="1215"/>
      <c r="AA101" s="1215"/>
      <c r="AB101" s="1213"/>
      <c r="AC101" s="1214"/>
      <c r="AD101" s="1214"/>
      <c r="AE101" s="1214"/>
      <c r="AF101" s="1214"/>
      <c r="AG101" s="1214"/>
      <c r="AH101" s="1214"/>
      <c r="AI101" s="1214"/>
      <c r="AJ101" s="1214"/>
      <c r="AK101" s="1214"/>
      <c r="AL101" s="1214"/>
      <c r="AM101" s="1214"/>
      <c r="AN101" s="1214"/>
      <c r="AO101" s="1214"/>
      <c r="AP101" s="1214"/>
      <c r="AQ101" s="1214"/>
      <c r="AR101" s="1214"/>
      <c r="AS101" s="1214"/>
      <c r="AT101" s="1214"/>
      <c r="AU101" s="1214"/>
      <c r="AV101" s="1214"/>
      <c r="AW101" s="1214"/>
      <c r="AX101" s="1214"/>
      <c r="AY101" s="1214"/>
      <c r="AZ101" s="1214"/>
      <c r="BA101" s="1214"/>
      <c r="BB101" s="1214"/>
      <c r="BC101" s="1214"/>
      <c r="BD101" s="1214"/>
      <c r="BE101" s="1214"/>
      <c r="BF101" s="1214"/>
      <c r="BG101" s="1214"/>
      <c r="BH101" s="1214"/>
      <c r="BI101" s="1214"/>
      <c r="BJ101" s="1214"/>
      <c r="BK101" s="1214"/>
      <c r="BL101" s="1214"/>
      <c r="BM101" s="1214"/>
      <c r="BN101" s="1214"/>
      <c r="BO101" s="1214"/>
      <c r="BP101" s="1214"/>
      <c r="BQ101" s="1214"/>
      <c r="BR101" s="1214"/>
      <c r="BS101" s="1214"/>
      <c r="BT101" s="1214"/>
      <c r="BU101" s="1214"/>
      <c r="BV101" s="1214"/>
      <c r="BW101" s="1214"/>
      <c r="BX101" s="1214"/>
      <c r="BY101" s="1214"/>
      <c r="BZ101" s="1214"/>
      <c r="CA101" s="1214"/>
      <c r="CB101" s="1214"/>
      <c r="CC101" s="1214"/>
      <c r="CD101" s="1214"/>
      <c r="CE101" s="1214"/>
      <c r="CF101" s="1214"/>
      <c r="CG101" s="1214"/>
      <c r="CH101" s="1214"/>
      <c r="CI101" s="1214"/>
      <c r="CJ101" s="1214"/>
      <c r="CK101" s="1214"/>
      <c r="CL101" s="1216"/>
      <c r="CM101" s="1216"/>
      <c r="CN101" s="1216"/>
      <c r="CO101" s="1216"/>
      <c r="CP101" s="1216"/>
      <c r="CQ101" s="1216"/>
      <c r="CR101" s="1216"/>
      <c r="CS101" s="1216"/>
      <c r="CT101" s="1216"/>
      <c r="CU101" s="1216"/>
      <c r="CV101" s="1216"/>
      <c r="CW101" s="1216"/>
      <c r="CX101" s="1216"/>
      <c r="CY101" s="1216"/>
      <c r="CZ101" s="1216"/>
      <c r="DA101" s="1216"/>
      <c r="DB101" s="1216"/>
      <c r="DC101" s="1216"/>
      <c r="DD101" s="1216"/>
      <c r="DE101" s="1216"/>
      <c r="DF101" s="1216"/>
      <c r="DG101" s="1216"/>
      <c r="DH101" s="1216"/>
      <c r="DI101" s="1216"/>
      <c r="DJ101" s="1216"/>
      <c r="DK101" s="1216"/>
      <c r="DL101" s="1216"/>
      <c r="DM101" s="1216"/>
      <c r="DN101" s="1216"/>
      <c r="DO101" s="1216"/>
      <c r="DP101" s="1216"/>
      <c r="DQ101" s="1216"/>
      <c r="DR101" s="1216"/>
      <c r="DS101" s="1216"/>
      <c r="DT101" s="1216"/>
      <c r="DU101" s="1216"/>
      <c r="DV101" s="1216"/>
      <c r="DW101" s="1216"/>
      <c r="DX101" s="1216"/>
      <c r="DY101" s="1216"/>
      <c r="DZ101" s="1216"/>
      <c r="EA101" s="1216"/>
      <c r="EB101" s="1216"/>
      <c r="EC101" s="1216"/>
      <c r="ED101" s="1216"/>
      <c r="EE101" s="1216"/>
      <c r="EF101" s="1216"/>
      <c r="EG101" s="1216"/>
      <c r="EH101" s="1216"/>
      <c r="EI101" s="1216"/>
      <c r="EJ101" s="1216"/>
      <c r="EK101" s="1216"/>
      <c r="EL101" s="1216"/>
      <c r="EM101" s="1216"/>
      <c r="EN101" s="1216"/>
      <c r="EO101" s="1216"/>
      <c r="EP101" s="1216"/>
      <c r="EQ101" s="1216"/>
      <c r="ER101" s="1216"/>
      <c r="ES101" s="1216"/>
      <c r="ET101" s="1216"/>
      <c r="EU101" s="1216"/>
      <c r="EV101" s="1216"/>
      <c r="EW101" s="1216"/>
      <c r="EX101" s="1216"/>
      <c r="EY101" s="1216"/>
      <c r="EZ101" s="1216"/>
      <c r="FA101" s="1216"/>
      <c r="FB101" s="1216"/>
      <c r="FC101" s="1216"/>
      <c r="FD101" s="1216"/>
      <c r="FE101" s="1216"/>
      <c r="FF101" s="1216"/>
      <c r="FG101" s="1216"/>
      <c r="FH101" s="1216"/>
      <c r="FI101" s="1216"/>
      <c r="FJ101" s="1216"/>
      <c r="FK101" s="1216"/>
      <c r="FL101" s="1216"/>
      <c r="FM101" s="1216"/>
      <c r="FN101" s="1216"/>
      <c r="FO101" s="1216"/>
      <c r="FP101" s="1216"/>
      <c r="FQ101" s="1216"/>
      <c r="FR101" s="1216"/>
      <c r="FS101" s="1216"/>
      <c r="FT101" s="1216"/>
      <c r="FU101" s="1216"/>
      <c r="FV101" s="1217"/>
      <c r="FW101" s="1211"/>
      <c r="FX101" s="1212"/>
    </row>
    <row s="4447" customFormat="1" customHeight="1" ht="24.75">
      <c r="B102" s="929"/>
      <c r="C102" s="930"/>
      <c r="D102" s="930"/>
      <c r="E102" s="1876"/>
      <c r="F102" s="1218">
        <v>1</v>
      </c>
      <c r="G102" s="1219"/>
      <c r="H102" s="1220"/>
      <c r="I102" s="1228"/>
      <c r="J102" s="1221"/>
      <c r="K102" s="1221"/>
      <c r="L102" s="1221"/>
      <c r="M102" s="1221"/>
      <c r="N102" s="1221"/>
      <c r="O102" s="1222"/>
      <c r="P102" s="1222"/>
      <c r="Q102" s="1222"/>
      <c r="R102" s="1222"/>
      <c r="S102" s="1222"/>
      <c r="T102" s="1222"/>
      <c r="U102" s="1222"/>
      <c r="V102" s="1222"/>
      <c r="W102" s="1222"/>
      <c r="X102" s="1222"/>
      <c r="Y102" s="1222"/>
      <c r="Z102" s="1222"/>
      <c r="AA102" s="1222"/>
      <c r="AB102" s="1222"/>
      <c r="AC102" s="1221"/>
      <c r="AD102" s="1221"/>
      <c r="AE102" s="1221"/>
      <c r="AF102" s="1221"/>
      <c r="AG102" s="1221"/>
      <c r="AH102" s="1221"/>
      <c r="AI102" s="1221"/>
      <c r="AJ102" s="1221"/>
      <c r="AK102" s="1221"/>
      <c r="AL102" s="1221"/>
      <c r="AM102" s="1221"/>
      <c r="AN102" s="1221"/>
      <c r="AO102" s="1221"/>
      <c r="AP102" s="1221"/>
      <c r="AQ102" s="1221"/>
      <c r="AR102" s="1221"/>
      <c r="AS102" s="1221"/>
      <c r="AT102" s="1221"/>
      <c r="AU102" s="1221"/>
      <c r="AV102" s="1221"/>
      <c r="AW102" s="1221"/>
      <c r="AX102" s="1221"/>
      <c r="AY102" s="1221"/>
      <c r="AZ102" s="1221"/>
      <c r="BA102" s="1221"/>
      <c r="BB102" s="1221"/>
      <c r="BC102" s="1221"/>
      <c r="BD102" s="1221"/>
      <c r="BE102" s="1221"/>
      <c r="BF102" s="1221"/>
      <c r="BG102" s="1221"/>
      <c r="BH102" s="1221"/>
      <c r="BI102" s="1221"/>
      <c r="BJ102" s="1221"/>
      <c r="BK102" s="1221"/>
      <c r="BL102" s="1221"/>
      <c r="BM102" s="1221"/>
      <c r="BN102" s="1221"/>
      <c r="BO102" s="1221"/>
      <c r="BP102" s="1221"/>
      <c r="BQ102" s="1221"/>
      <c r="BR102" s="1221"/>
      <c r="BS102" s="1221"/>
      <c r="BT102" s="1223"/>
      <c r="BU102" s="1223"/>
      <c r="BV102" s="1223"/>
      <c r="BW102" s="1223"/>
      <c r="BX102" s="1223"/>
      <c r="BY102" s="1223"/>
      <c r="BZ102" s="1223"/>
      <c r="CA102" s="1223"/>
      <c r="CB102" s="1223"/>
      <c r="CC102" s="1223"/>
      <c r="CD102" s="1223"/>
      <c r="CE102" s="1223"/>
      <c r="CF102" s="1223"/>
      <c r="CG102" s="1223"/>
      <c r="CH102" s="1223"/>
      <c r="CI102" s="1223"/>
      <c r="CJ102" s="1223"/>
      <c r="CK102" s="1223"/>
      <c r="CL102" s="1221"/>
      <c r="CM102" s="1221"/>
      <c r="CN102" s="1221"/>
      <c r="CO102" s="1221"/>
      <c r="CP102" s="1221"/>
      <c r="CQ102" s="1221"/>
      <c r="CR102" s="1221"/>
      <c r="CS102" s="1221"/>
      <c r="CT102" s="1221"/>
      <c r="CU102" s="1221"/>
      <c r="CV102" s="1221"/>
      <c r="CW102" s="1221"/>
      <c r="CX102" s="1221"/>
      <c r="CY102" s="1222"/>
      <c r="CZ102" s="1222"/>
      <c r="DA102" s="1222"/>
      <c r="DB102" s="1222"/>
      <c r="DC102" s="1222"/>
      <c r="DD102" s="1222"/>
      <c r="DE102" s="1222"/>
      <c r="DF102" s="1222"/>
      <c r="DG102" s="1222"/>
      <c r="DH102" s="1222"/>
      <c r="DI102" s="1222"/>
      <c r="DJ102" s="1222"/>
      <c r="DK102" s="1221"/>
      <c r="DL102" s="1221"/>
      <c r="DM102" s="1221"/>
      <c r="DN102" s="1221"/>
      <c r="DO102" s="1221"/>
      <c r="DP102" s="1221"/>
      <c r="DQ102" s="1221"/>
      <c r="DR102" s="1221"/>
      <c r="DS102" s="1221"/>
      <c r="DT102" s="1221"/>
      <c r="DU102" s="1221"/>
      <c r="DV102" s="1221"/>
      <c r="DW102" s="1221"/>
      <c r="DX102" s="1221"/>
      <c r="DY102" s="1221"/>
      <c r="DZ102" s="1221"/>
      <c r="EA102" s="1221"/>
      <c r="EB102" s="1221"/>
      <c r="EC102" s="1221"/>
      <c r="ED102" s="1221"/>
      <c r="EE102" s="1221"/>
      <c r="EF102" s="1221"/>
      <c r="EG102" s="1221"/>
      <c r="EH102" s="1221"/>
      <c r="EI102" s="1221"/>
      <c r="EJ102" s="1221"/>
      <c r="EK102" s="1221"/>
      <c r="EL102" s="1221"/>
      <c r="EM102" s="1221"/>
      <c r="EN102" s="1221"/>
      <c r="EO102" s="1221"/>
      <c r="EP102" s="1221"/>
      <c r="EQ102" s="1221"/>
      <c r="ER102" s="1221"/>
      <c r="ES102" s="1221"/>
      <c r="ET102" s="1221"/>
      <c r="EU102" s="1221"/>
      <c r="EV102" s="1221"/>
      <c r="EW102" s="1221"/>
      <c r="EX102" s="1221"/>
      <c r="EY102" s="1221"/>
      <c r="EZ102" s="1221"/>
      <c r="FA102" s="1221"/>
      <c r="FB102" s="1221"/>
      <c r="FC102" s="1221"/>
      <c r="FD102" s="1221"/>
      <c r="FE102" s="1221"/>
      <c r="FF102" s="1221"/>
      <c r="FG102" s="1221"/>
      <c r="FH102" s="1221"/>
      <c r="FI102" s="1221"/>
      <c r="FJ102" s="1221"/>
      <c r="FK102" s="1221"/>
      <c r="FL102" s="1221"/>
      <c r="FM102" s="1221"/>
      <c r="FN102" s="1221"/>
      <c r="FO102" s="1221"/>
      <c r="FP102" s="1221"/>
      <c r="FQ102" s="1221"/>
      <c r="FR102" s="1221"/>
      <c r="FS102" s="1221"/>
      <c r="FT102" s="1221"/>
      <c r="FU102" s="1221"/>
      <c r="FV102" s="1221"/>
      <c r="FW102" s="1221"/>
      <c r="FX102" s="1212"/>
    </row>
    <row s="4447" customFormat="1" customHeight="1" ht="12">
      <c r="A103" s="930"/>
      <c r="B103" s="929"/>
      <c r="C103" s="930"/>
      <c r="D103" s="930"/>
      <c r="E103" s="930"/>
      <c r="F103" s="1224"/>
      <c r="G103" s="1841" t="s">
        <v>1161</v>
      </c>
      <c r="H103" s="1225"/>
      <c r="I103" s="1225"/>
      <c r="J103" s="1225"/>
      <c r="K103" s="1225"/>
      <c r="L103" s="1225"/>
      <c r="M103" s="1225"/>
      <c r="N103" s="1225"/>
      <c r="O103" s="1225"/>
      <c r="P103" s="1225"/>
      <c r="Q103" s="1225"/>
      <c r="R103" s="1225"/>
      <c r="S103" s="1225"/>
      <c r="T103" s="1225"/>
      <c r="U103" s="1225"/>
      <c r="V103" s="1225"/>
      <c r="W103" s="1225"/>
      <c r="X103" s="1225"/>
      <c r="Y103" s="1225"/>
      <c r="Z103" s="1225"/>
      <c r="AA103" s="1225"/>
      <c r="AB103" s="1225"/>
      <c r="AC103" s="1225"/>
      <c r="AD103" s="1225"/>
      <c r="AE103" s="1225"/>
      <c r="AF103" s="1225"/>
      <c r="AG103" s="1225"/>
      <c r="AH103" s="1225"/>
      <c r="AI103" s="1225"/>
      <c r="AJ103" s="1225"/>
      <c r="AK103" s="1225"/>
      <c r="AL103" s="1225"/>
      <c r="AM103" s="1225"/>
      <c r="AN103" s="1225"/>
      <c r="AO103" s="1225"/>
      <c r="AP103" s="1225"/>
      <c r="AQ103" s="1225"/>
      <c r="AR103" s="1225"/>
      <c r="AS103" s="1225"/>
      <c r="AT103" s="1225"/>
      <c r="AU103" s="1225"/>
      <c r="AV103" s="1225"/>
      <c r="AW103" s="1225"/>
      <c r="AX103" s="1225"/>
      <c r="AY103" s="1225"/>
      <c r="AZ103" s="1225"/>
      <c r="BA103" s="1225"/>
      <c r="BB103" s="1225"/>
      <c r="BC103" s="1225"/>
      <c r="BD103" s="1225"/>
      <c r="BE103" s="1225"/>
      <c r="BF103" s="1225"/>
      <c r="BG103" s="1225"/>
      <c r="BH103" s="1225"/>
      <c r="BI103" s="1225"/>
      <c r="BJ103" s="1225"/>
      <c r="BK103" s="1225"/>
      <c r="BL103" s="1225"/>
      <c r="BM103" s="1225"/>
      <c r="BN103" s="1225"/>
      <c r="BO103" s="1225"/>
      <c r="BP103" s="1225"/>
      <c r="BQ103" s="1225"/>
      <c r="BR103" s="1225"/>
      <c r="BS103" s="1225"/>
      <c r="BT103" s="1225"/>
      <c r="BU103" s="1225"/>
      <c r="BV103" s="1225"/>
      <c r="BW103" s="1225"/>
      <c r="BX103" s="1225"/>
      <c r="BY103" s="1225"/>
      <c r="BZ103" s="1225"/>
      <c r="CA103" s="1225"/>
      <c r="CB103" s="1225"/>
      <c r="CC103" s="1225"/>
      <c r="CD103" s="1225"/>
      <c r="CE103" s="1225"/>
      <c r="CF103" s="1225"/>
      <c r="CG103" s="1225"/>
      <c r="CH103" s="1225"/>
      <c r="CI103" s="1225"/>
      <c r="CJ103" s="1225"/>
      <c r="CK103" s="1225"/>
      <c r="CL103" s="1225"/>
      <c r="CM103" s="1225"/>
      <c r="CN103" s="1225"/>
      <c r="CO103" s="1225"/>
      <c r="CP103" s="1225"/>
      <c r="CQ103" s="1225"/>
      <c r="CR103" s="1225"/>
      <c r="CS103" s="1225"/>
      <c r="CT103" s="1225"/>
      <c r="CU103" s="1225"/>
      <c r="CV103" s="1225"/>
      <c r="CW103" s="1225"/>
      <c r="CX103" s="1225"/>
      <c r="CY103" s="1225"/>
      <c r="CZ103" s="1225"/>
      <c r="DA103" s="1225"/>
      <c r="DB103" s="1225"/>
      <c r="DC103" s="1225"/>
      <c r="DD103" s="1225"/>
      <c r="DE103" s="1225"/>
      <c r="DF103" s="1225"/>
      <c r="DG103" s="1225"/>
      <c r="DH103" s="1225"/>
      <c r="DI103" s="1225"/>
      <c r="DJ103" s="1225"/>
      <c r="DK103" s="1225"/>
      <c r="DL103" s="1225"/>
      <c r="DM103" s="1225"/>
      <c r="DN103" s="1225"/>
      <c r="DO103" s="1225"/>
      <c r="DP103" s="1225"/>
      <c r="DQ103" s="1225"/>
      <c r="DR103" s="1225"/>
      <c r="DS103" s="1225"/>
      <c r="DT103" s="1225"/>
      <c r="DU103" s="1225"/>
      <c r="DV103" s="1225"/>
      <c r="DW103" s="1225"/>
      <c r="DX103" s="1225"/>
      <c r="DY103" s="1225"/>
      <c r="DZ103" s="1225"/>
      <c r="EA103" s="1225"/>
      <c r="EB103" s="1225"/>
      <c r="EC103" s="1225"/>
      <c r="ED103" s="1225"/>
      <c r="EE103" s="1225"/>
      <c r="EF103" s="1225"/>
      <c r="EG103" s="1225"/>
      <c r="EH103" s="1225"/>
      <c r="EI103" s="1225"/>
      <c r="EJ103" s="1225"/>
      <c r="EK103" s="1225"/>
      <c r="EL103" s="1225"/>
      <c r="EM103" s="1225"/>
      <c r="EN103" s="1225"/>
      <c r="EO103" s="1225"/>
      <c r="EP103" s="1225"/>
      <c r="EQ103" s="1225"/>
      <c r="ER103" s="1225"/>
      <c r="ES103" s="1225"/>
      <c r="ET103" s="1225"/>
      <c r="EU103" s="1225"/>
      <c r="EV103" s="1225"/>
      <c r="EW103" s="1225"/>
      <c r="EX103" s="1225"/>
      <c r="EY103" s="1225"/>
      <c r="EZ103" s="1225"/>
      <c r="FA103" s="1225"/>
      <c r="FB103" s="1225"/>
      <c r="FC103" s="1225"/>
      <c r="FD103" s="1225"/>
      <c r="FE103" s="1225"/>
      <c r="FF103" s="1225"/>
      <c r="FG103" s="1225"/>
      <c r="FH103" s="1225"/>
      <c r="FI103" s="1225"/>
      <c r="FJ103" s="1225"/>
      <c r="FK103" s="1225"/>
      <c r="FL103" s="1225"/>
      <c r="FM103" s="1225"/>
      <c r="FN103" s="1225"/>
      <c r="FO103" s="1225"/>
      <c r="FP103" s="1225"/>
      <c r="FQ103" s="1225"/>
      <c r="FR103" s="1225"/>
      <c r="FS103" s="1225"/>
      <c r="FT103" s="1225"/>
      <c r="FU103" s="1225"/>
      <c r="FV103" s="1225"/>
      <c r="FW103" s="1226"/>
      <c r="FX103" s="1227"/>
      <c r="FY103" s="947"/>
      <c r="FZ103" s="947"/>
      <c r="GA103" s="947"/>
      <c r="GB103" s="947"/>
    </row>
    <row r="105" s="4798" customFormat="1" customHeight="1" ht="11.25">
      <c r="A105" s="1856" t="s">
        <v>1162</v>
      </c>
    </row>
    <row r="107" s="2666" customFormat="1" customHeight="1" ht="15">
      <c r="A107" s="629"/>
      <c r="B107" s="630"/>
      <c r="C107" s="630"/>
      <c r="D107" s="2361" t="s">
        <v>108</v>
      </c>
      <c r="E107" s="2225" t="s">
        <v>104</v>
      </c>
      <c r="F107" s="2226"/>
      <c r="G107" s="2227"/>
      <c r="H107" s="2220" t="str">
        <f>IF(A107="","",INDEX(DIFFERENTIATION_UNMERGE_VD,MATCH(A107,DIFFERENTIATION_ID_DIFF,0)))</f>
        <v/>
      </c>
      <c r="I107" s="2220"/>
      <c r="J107" s="2220"/>
      <c r="K107" s="2220"/>
      <c r="L107" s="2220"/>
      <c r="M107" s="2220"/>
      <c r="N107" s="2220"/>
      <c r="O107" s="2220"/>
      <c r="P107" s="2220"/>
      <c r="Q107" s="2220"/>
      <c r="R107" s="2220"/>
      <c r="S107" s="725"/>
      <c r="T107" s="722"/>
      <c r="U107" s="631"/>
      <c r="V107" s="631"/>
      <c r="W107" s="632"/>
      <c r="X107" s="632"/>
      <c r="Y107" s="632"/>
      <c r="Z107" s="632"/>
      <c r="AA107" s="633"/>
      <c r="AB107" s="634"/>
      <c r="AC107" s="2224"/>
      <c r="AD107" s="635"/>
      <c r="AE107" s="636" t="s">
        <v>24</v>
      </c>
      <c r="AF107" s="636"/>
      <c r="AG107" s="637" t="s">
        <v>596</v>
      </c>
      <c r="AH107" s="638">
        <v>3</v>
      </c>
      <c r="AI107" s="631"/>
      <c r="AJ107" s="631"/>
      <c r="AK107" s="631"/>
      <c r="AL107" s="631"/>
      <c r="AM107" s="631"/>
      <c r="AN107" s="631"/>
      <c r="AO107" s="631"/>
      <c r="AP107" s="631"/>
      <c r="AQ107" s="631"/>
      <c r="AR107" s="631"/>
      <c r="AS107" s="631"/>
      <c r="AT107" s="631"/>
      <c r="AU107" s="631"/>
      <c r="AV107" s="631"/>
      <c r="AW107" s="631"/>
      <c r="AX107" s="631"/>
      <c r="AY107" s="631"/>
      <c r="AZ107" s="631"/>
      <c r="BA107" s="631"/>
      <c r="BB107" s="631"/>
      <c r="BC107" s="631"/>
      <c r="BD107" s="631"/>
      <c r="BE107" s="631"/>
      <c r="BF107" s="631"/>
      <c r="BG107" s="631"/>
      <c r="BH107" s="631"/>
      <c r="BI107" s="631"/>
      <c r="BJ107" s="631"/>
      <c r="BK107" s="631"/>
      <c r="BL107" s="631"/>
      <c r="BM107" s="631"/>
      <c r="BN107" s="631"/>
      <c r="BO107" s="631"/>
      <c r="BP107" s="631"/>
      <c r="BQ107" s="631"/>
      <c r="BR107" s="631"/>
      <c r="BS107" s="631"/>
      <c r="BT107" s="631"/>
      <c r="BU107" s="631"/>
      <c r="BV107" s="632"/>
      <c r="BW107" s="632"/>
      <c r="BX107" s="632"/>
      <c r="BY107" s="632"/>
      <c r="BZ107" s="632"/>
      <c r="CA107" s="632"/>
      <c r="CB107" s="632"/>
      <c r="CC107" s="632"/>
      <c r="CD107" s="632"/>
      <c r="CE107" s="632"/>
    </row>
    <row s="2666" customFormat="1" customHeight="1" ht="15">
      <c r="A108" s="629"/>
      <c r="B108" s="630"/>
      <c r="C108" s="630"/>
      <c r="D108" s="2362"/>
      <c r="E108" s="2225" t="s">
        <v>551</v>
      </c>
      <c r="F108" s="2226"/>
      <c r="G108" s="2227"/>
      <c r="H108" s="2220" t="str">
        <f>IF(A107="","",INDEX(DIFFERENTIATION_UNMERGE_AREA,MATCH(A107,DIFFERENTIATION_ID_DIFF,0)))</f>
        <v/>
      </c>
      <c r="I108" s="2220"/>
      <c r="J108" s="2220"/>
      <c r="K108" s="2220"/>
      <c r="L108" s="2220"/>
      <c r="M108" s="2220"/>
      <c r="N108" s="2220"/>
      <c r="O108" s="2220"/>
      <c r="P108" s="2220"/>
      <c r="Q108" s="2220"/>
      <c r="R108" s="2220"/>
      <c r="S108" s="725"/>
      <c r="T108" s="722"/>
      <c r="U108" s="631"/>
      <c r="V108" s="631"/>
      <c r="W108" s="632"/>
      <c r="X108" s="632"/>
      <c r="Y108" s="632"/>
      <c r="Z108" s="632"/>
      <c r="AA108" s="633"/>
      <c r="AB108" s="634"/>
      <c r="AC108" s="2224"/>
      <c r="AD108" s="635"/>
      <c r="AE108" s="636"/>
      <c r="AF108" s="636"/>
      <c r="AG108" s="637"/>
      <c r="AH108" s="638"/>
      <c r="AI108" s="631"/>
      <c r="AJ108" s="631"/>
      <c r="AK108" s="631"/>
      <c r="AL108" s="631"/>
      <c r="AM108" s="631"/>
      <c r="AN108" s="631"/>
      <c r="AO108" s="631"/>
      <c r="AP108" s="631"/>
      <c r="AQ108" s="631"/>
      <c r="AR108" s="631"/>
      <c r="AS108" s="631"/>
      <c r="AT108" s="631"/>
      <c r="AU108" s="631"/>
      <c r="AV108" s="631"/>
      <c r="AW108" s="631"/>
      <c r="AX108" s="631"/>
      <c r="AY108" s="631"/>
      <c r="AZ108" s="631"/>
      <c r="BA108" s="631"/>
      <c r="BB108" s="631"/>
      <c r="BC108" s="631"/>
      <c r="BD108" s="631"/>
      <c r="BE108" s="631"/>
      <c r="BF108" s="631"/>
      <c r="BG108" s="631"/>
      <c r="BH108" s="631"/>
      <c r="BI108" s="631"/>
      <c r="BJ108" s="631"/>
      <c r="BK108" s="631"/>
      <c r="BL108" s="631"/>
      <c r="BM108" s="631"/>
      <c r="BN108" s="631"/>
      <c r="BO108" s="631"/>
      <c r="BP108" s="631"/>
      <c r="BQ108" s="631"/>
      <c r="BR108" s="631"/>
      <c r="BS108" s="631"/>
      <c r="BT108" s="631"/>
      <c r="BU108" s="631"/>
      <c r="BV108" s="632"/>
      <c r="BW108" s="632"/>
      <c r="BX108" s="632"/>
      <c r="BY108" s="632"/>
      <c r="BZ108" s="632"/>
      <c r="CA108" s="632"/>
      <c r="CB108" s="632"/>
      <c r="CC108" s="632"/>
      <c r="CD108" s="632"/>
      <c r="CE108" s="632"/>
    </row>
    <row s="2666" customFormat="1" customHeight="1" ht="15">
      <c r="A109" s="629"/>
      <c r="B109" s="630"/>
      <c r="C109" s="630"/>
      <c r="D109" s="2362"/>
      <c r="E109" s="2225" t="s">
        <v>552</v>
      </c>
      <c r="F109" s="2226"/>
      <c r="G109" s="2227"/>
      <c r="H109" s="2220" t="str">
        <f>IF(A107="","",INDEX(DIFFERENTIATION_UNMERGE_SYSTEM,MATCH(A107,DIFFERENTIATION_ID_DIFF,0)))</f>
        <v/>
      </c>
      <c r="I109" s="2220"/>
      <c r="J109" s="2220"/>
      <c r="K109" s="2220"/>
      <c r="L109" s="2220"/>
      <c r="M109" s="2220"/>
      <c r="N109" s="2220"/>
      <c r="O109" s="2220"/>
      <c r="P109" s="2220"/>
      <c r="Q109" s="2220"/>
      <c r="R109" s="2220"/>
      <c r="S109" s="725"/>
      <c r="T109" s="722"/>
      <c r="U109" s="631"/>
      <c r="V109" s="631"/>
      <c r="W109" s="632"/>
      <c r="X109" s="632"/>
      <c r="Y109" s="632"/>
      <c r="Z109" s="632"/>
      <c r="AA109" s="633"/>
      <c r="AB109" s="634"/>
      <c r="AC109" s="2224"/>
      <c r="AD109" s="635"/>
      <c r="AE109" s="636"/>
      <c r="AF109" s="636"/>
      <c r="AG109" s="637"/>
      <c r="AH109" s="638"/>
      <c r="AI109" s="631"/>
      <c r="AJ109" s="631"/>
      <c r="AK109" s="631"/>
      <c r="AL109" s="631"/>
      <c r="AM109" s="631"/>
      <c r="AN109" s="631"/>
      <c r="AO109" s="631"/>
      <c r="AP109" s="631"/>
      <c r="AQ109" s="631"/>
      <c r="AR109" s="631"/>
      <c r="AS109" s="631"/>
      <c r="AT109" s="631"/>
      <c r="AU109" s="631"/>
      <c r="AV109" s="631"/>
      <c r="AW109" s="631"/>
      <c r="AX109" s="631"/>
      <c r="AY109" s="631"/>
      <c r="AZ109" s="631"/>
      <c r="BA109" s="631"/>
      <c r="BB109" s="631"/>
      <c r="BC109" s="631"/>
      <c r="BD109" s="631"/>
      <c r="BE109" s="631"/>
      <c r="BF109" s="631"/>
      <c r="BG109" s="631"/>
      <c r="BH109" s="631"/>
      <c r="BI109" s="631"/>
      <c r="BJ109" s="631"/>
      <c r="BK109" s="631"/>
      <c r="BL109" s="631"/>
      <c r="BM109" s="631"/>
      <c r="BN109" s="631"/>
      <c r="BO109" s="631"/>
      <c r="BP109" s="631"/>
      <c r="BQ109" s="631"/>
      <c r="BR109" s="631"/>
      <c r="BS109" s="631"/>
      <c r="BT109" s="631"/>
      <c r="BU109" s="631"/>
      <c r="BV109" s="632"/>
      <c r="BW109" s="632"/>
      <c r="BX109" s="632"/>
      <c r="BY109" s="632"/>
      <c r="BZ109" s="632"/>
      <c r="CA109" s="632"/>
      <c r="CB109" s="632"/>
      <c r="CC109" s="632"/>
      <c r="CD109" s="632"/>
      <c r="CE109" s="632"/>
    </row>
    <row s="2666" customFormat="1" customHeight="1" ht="24.75">
      <c r="A110" s="1847"/>
      <c r="B110" s="1168"/>
      <c r="C110" s="418"/>
      <c r="D110" s="2362"/>
      <c r="E110" s="2222" t="s">
        <v>597</v>
      </c>
      <c r="F110" s="2222"/>
      <c r="G110" s="2222"/>
      <c r="H110" s="2222"/>
      <c r="I110" s="2222"/>
      <c r="J110" s="2222"/>
      <c r="K110" s="2222"/>
      <c r="L110" s="2222"/>
      <c r="M110" s="2222"/>
      <c r="N110" s="2222"/>
      <c r="O110" s="2222"/>
      <c r="P110" s="2222"/>
      <c r="Q110" s="564">
        <f>SUMIF(T111:T112,"i",Q111:Q112)</f>
        <v>0</v>
      </c>
      <c r="R110" s="1024"/>
      <c r="S110" s="1839" t="s">
        <v>598</v>
      </c>
      <c r="T110" s="723" t="s">
        <v>599</v>
      </c>
      <c r="U110" s="2223">
        <v>1</v>
      </c>
      <c r="V110" s="2223" t="s">
        <v>562</v>
      </c>
      <c r="W110" s="1168"/>
      <c r="X110" s="1168"/>
      <c r="Y110" s="1168"/>
      <c r="Z110" s="1168"/>
      <c r="AA110" s="1676"/>
      <c r="AB110" s="1168"/>
      <c r="AC110" s="2224"/>
      <c r="AD110" s="635"/>
      <c r="AE110" s="1168"/>
      <c r="AF110" s="1168"/>
      <c r="AG110" s="1676"/>
      <c r="AH110" s="1676"/>
      <c r="AI110" s="1676"/>
      <c r="AJ110" s="1676"/>
      <c r="AK110" s="1676"/>
      <c r="AL110" s="1676"/>
      <c r="AM110" s="1676"/>
      <c r="AN110" s="1676"/>
      <c r="AO110" s="1676"/>
      <c r="AP110" s="1676"/>
      <c r="AQ110" s="1676"/>
      <c r="AR110" s="1676"/>
      <c r="AS110" s="1676"/>
      <c r="AT110" s="1676"/>
      <c r="AU110" s="1676"/>
      <c r="AV110" s="1676"/>
      <c r="AW110" s="1676"/>
      <c r="AX110" s="1676"/>
      <c r="AY110" s="1676"/>
      <c r="AZ110" s="1676"/>
      <c r="BA110" s="1676"/>
      <c r="BB110" s="1676"/>
      <c r="BC110" s="1676"/>
      <c r="BD110" s="1676"/>
      <c r="BE110" s="1676"/>
      <c r="BF110" s="1676"/>
      <c r="BG110" s="1676"/>
      <c r="BH110" s="1676"/>
      <c r="BI110" s="1676"/>
      <c r="BJ110" s="1676"/>
      <c r="BK110" s="1676"/>
      <c r="BL110" s="1676"/>
      <c r="BM110" s="1676"/>
      <c r="BN110" s="1676"/>
      <c r="BO110" s="1676"/>
      <c r="BP110" s="1676"/>
      <c r="BQ110" s="1676"/>
      <c r="BR110" s="1676"/>
      <c r="BS110" s="1676"/>
      <c r="BT110" s="1676"/>
      <c r="BU110" s="1676"/>
      <c r="BV110" s="1168"/>
      <c r="BW110" s="1168"/>
      <c r="BX110" s="1168"/>
      <c r="BY110" s="1168"/>
      <c r="BZ110" s="1168"/>
      <c r="CA110" s="1168"/>
      <c r="CB110" s="1168"/>
      <c r="CC110" s="1168"/>
      <c r="CD110" s="1168"/>
      <c r="CE110" s="1168"/>
    </row>
    <row s="2666" customFormat="1" customHeight="1" ht="11.25" hidden="1">
      <c r="A111" s="1834"/>
      <c r="B111" s="1676"/>
      <c r="C111" s="1676"/>
      <c r="D111" s="2362"/>
      <c r="E111" s="641"/>
      <c r="F111" s="641">
        <v>0</v>
      </c>
      <c r="G111" s="641"/>
      <c r="H111" s="641"/>
      <c r="I111" s="641"/>
      <c r="J111" s="641"/>
      <c r="K111" s="641"/>
      <c r="L111" s="641"/>
      <c r="M111" s="641"/>
      <c r="N111" s="641"/>
      <c r="O111" s="641"/>
      <c r="P111" s="641"/>
      <c r="Q111" s="641"/>
      <c r="R111" s="641"/>
      <c r="S111" s="642"/>
      <c r="T111" s="724"/>
      <c r="U111" s="2223"/>
      <c r="V111" s="2223"/>
      <c r="W111" s="1676"/>
      <c r="X111" s="1676"/>
      <c r="Y111" s="1676"/>
      <c r="Z111" s="1676"/>
      <c r="AA111" s="1676"/>
      <c r="AB111" s="1168"/>
      <c r="AC111" s="2224"/>
      <c r="AD111" s="635"/>
      <c r="AE111" s="1168"/>
      <c r="AF111" s="1168"/>
      <c r="AG111" s="1676"/>
      <c r="AH111" s="1676"/>
      <c r="AI111" s="1676"/>
      <c r="AJ111" s="1676"/>
      <c r="AK111" s="1676"/>
      <c r="AL111" s="1676"/>
      <c r="AM111" s="1676"/>
      <c r="AN111" s="1676"/>
      <c r="AO111" s="1676"/>
      <c r="AP111" s="1676"/>
      <c r="AQ111" s="1676"/>
      <c r="AR111" s="1676"/>
      <c r="AS111" s="1676"/>
      <c r="AT111" s="1676"/>
      <c r="AU111" s="1676"/>
      <c r="AV111" s="1676"/>
      <c r="AW111" s="1676"/>
      <c r="AX111" s="1676"/>
      <c r="AY111" s="1676"/>
      <c r="AZ111" s="1676"/>
      <c r="BA111" s="1676"/>
      <c r="BB111" s="1676"/>
      <c r="BC111" s="1676"/>
      <c r="BD111" s="1676"/>
      <c r="BE111" s="1676"/>
      <c r="BF111" s="1676"/>
      <c r="BG111" s="1676"/>
      <c r="BH111" s="1676"/>
      <c r="BI111" s="1676"/>
      <c r="BJ111" s="1676"/>
      <c r="BK111" s="1676"/>
      <c r="BL111" s="1676"/>
      <c r="BM111" s="1676"/>
      <c r="BN111" s="1676"/>
      <c r="BO111" s="1676"/>
      <c r="BP111" s="1676"/>
      <c r="BQ111" s="1676"/>
      <c r="BR111" s="1676"/>
      <c r="BS111" s="1676"/>
      <c r="BT111" s="1676"/>
      <c r="BU111" s="1676"/>
      <c r="BV111" s="1676"/>
      <c r="BW111" s="1676"/>
      <c r="BX111" s="1676"/>
      <c r="BY111" s="1676"/>
      <c r="BZ111" s="1676"/>
      <c r="CA111" s="1676"/>
      <c r="CB111" s="1676"/>
      <c r="CC111" s="1676"/>
      <c r="CD111" s="1676"/>
      <c r="CE111" s="1676"/>
    </row>
    <row s="2666" customFormat="1" customHeight="1" ht="11.25">
      <c r="A112" s="1847"/>
      <c r="B112" s="1168"/>
      <c r="C112" s="418"/>
      <c r="D112" s="2362"/>
      <c r="E112" s="655" t="s">
        <v>24</v>
      </c>
      <c r="F112" s="1176" t="s">
        <v>24</v>
      </c>
      <c r="G112" s="1176" t="s">
        <v>1163</v>
      </c>
      <c r="H112" s="657" t="s">
        <v>24</v>
      </c>
      <c r="I112" s="657"/>
      <c r="J112" s="657"/>
      <c r="K112" s="657"/>
      <c r="L112" s="657"/>
      <c r="M112" s="657"/>
      <c r="N112" s="657"/>
      <c r="O112" s="657"/>
      <c r="P112" s="657"/>
      <c r="Q112" s="657"/>
      <c r="R112" s="658"/>
      <c r="S112" s="659"/>
      <c r="T112" s="724"/>
      <c r="U112" s="2223"/>
      <c r="V112" s="2223"/>
      <c r="W112" s="1168"/>
      <c r="X112" s="1168"/>
      <c r="Y112" s="1168"/>
      <c r="Z112" s="1168"/>
      <c r="AA112" s="1676"/>
      <c r="AB112" s="1168"/>
      <c r="AC112" s="2224"/>
      <c r="AD112" s="635"/>
      <c r="AE112" s="1168"/>
      <c r="AF112" s="1168"/>
      <c r="AG112" s="1676"/>
      <c r="AH112" s="1676"/>
      <c r="AI112" s="1676"/>
      <c r="AJ112" s="1676"/>
      <c r="AK112" s="1676"/>
      <c r="AL112" s="1676"/>
      <c r="AM112" s="1676"/>
      <c r="AN112" s="1676"/>
      <c r="AO112" s="1676"/>
      <c r="AP112" s="1676"/>
      <c r="AQ112" s="1676"/>
      <c r="AR112" s="1676"/>
      <c r="AS112" s="1676"/>
      <c r="AT112" s="1676"/>
      <c r="AU112" s="1676"/>
      <c r="AV112" s="1676"/>
      <c r="AW112" s="1676"/>
      <c r="AX112" s="1676"/>
      <c r="AY112" s="1676"/>
      <c r="AZ112" s="1676"/>
      <c r="BA112" s="1676"/>
      <c r="BB112" s="1676"/>
      <c r="BC112" s="1676"/>
      <c r="BD112" s="1676"/>
      <c r="BE112" s="1676"/>
      <c r="BF112" s="1676"/>
      <c r="BG112" s="1676"/>
      <c r="BH112" s="1676"/>
      <c r="BI112" s="1676"/>
      <c r="BJ112" s="1676"/>
      <c r="BK112" s="1676"/>
      <c r="BL112" s="1676"/>
      <c r="BM112" s="1676"/>
      <c r="BN112" s="1676"/>
      <c r="BO112" s="1676"/>
      <c r="BP112" s="1676"/>
      <c r="BQ112" s="1676"/>
      <c r="BR112" s="1676"/>
      <c r="BS112" s="1676"/>
      <c r="BT112" s="1676"/>
      <c r="BU112" s="1676"/>
      <c r="BV112" s="1168"/>
      <c r="BW112" s="1168"/>
      <c r="BX112" s="1168"/>
      <c r="BY112" s="1168"/>
      <c r="BZ112" s="1168"/>
      <c r="CA112" s="1168"/>
      <c r="CB112" s="1168"/>
      <c r="CC112" s="1168"/>
      <c r="CD112" s="1168"/>
      <c r="CE112" s="1168"/>
    </row>
    <row s="2666" customFormat="1" customHeight="1" ht="24.75">
      <c r="A113" s="1847"/>
      <c r="B113" s="1168"/>
      <c r="C113" s="418"/>
      <c r="D113" s="2362"/>
      <c r="E113" s="2222" t="s">
        <v>600</v>
      </c>
      <c r="F113" s="2222"/>
      <c r="G113" s="2222"/>
      <c r="H113" s="2222"/>
      <c r="I113" s="2222"/>
      <c r="J113" s="2222"/>
      <c r="K113" s="2222"/>
      <c r="L113" s="2222"/>
      <c r="M113" s="2222"/>
      <c r="N113" s="2222"/>
      <c r="O113" s="2222"/>
      <c r="P113" s="2222"/>
      <c r="Q113" s="564">
        <f>SUMIF(T114:T115,"i",Q114:Q115)</f>
        <v>0</v>
      </c>
      <c r="R113" s="1024"/>
      <c r="S113" s="1839" t="s">
        <v>601</v>
      </c>
      <c r="T113" s="723" t="s">
        <v>599</v>
      </c>
      <c r="U113" s="2223">
        <v>1</v>
      </c>
      <c r="V113" s="2223" t="s">
        <v>562</v>
      </c>
      <c r="W113" s="1168"/>
      <c r="X113" s="1168"/>
      <c r="Y113" s="1168"/>
      <c r="Z113" s="1168"/>
      <c r="AA113" s="1676"/>
      <c r="AB113" s="1168"/>
      <c r="AC113" s="1837"/>
      <c r="AD113" s="635"/>
      <c r="AE113" s="1168"/>
      <c r="AF113" s="1168"/>
      <c r="AG113" s="1676"/>
      <c r="AH113" s="1676"/>
      <c r="AI113" s="1676"/>
      <c r="AJ113" s="1676"/>
      <c r="AK113" s="1676"/>
      <c r="AL113" s="1676"/>
      <c r="AM113" s="1676"/>
      <c r="AN113" s="1676"/>
      <c r="AO113" s="1676"/>
      <c r="AP113" s="1676"/>
      <c r="AQ113" s="1676"/>
      <c r="AR113" s="1676"/>
      <c r="AS113" s="1676"/>
      <c r="AT113" s="1676"/>
      <c r="AU113" s="1676"/>
      <c r="AV113" s="1676"/>
      <c r="AW113" s="1676"/>
      <c r="AX113" s="1676"/>
      <c r="AY113" s="1676"/>
      <c r="AZ113" s="1676"/>
      <c r="BA113" s="1676"/>
      <c r="BB113" s="1676"/>
      <c r="BC113" s="1676"/>
      <c r="BD113" s="1676"/>
      <c r="BE113" s="1676"/>
      <c r="BF113" s="1676"/>
      <c r="BG113" s="1676"/>
      <c r="BH113" s="1676"/>
      <c r="BI113" s="1676"/>
      <c r="BJ113" s="1676"/>
      <c r="BK113" s="1676"/>
      <c r="BL113" s="1676"/>
      <c r="BM113" s="1676"/>
      <c r="BN113" s="1676"/>
      <c r="BO113" s="1676"/>
      <c r="BP113" s="1676"/>
      <c r="BQ113" s="1676"/>
      <c r="BR113" s="1676"/>
      <c r="BS113" s="1676"/>
      <c r="BT113" s="1676"/>
      <c r="BU113" s="1676"/>
      <c r="BV113" s="1168"/>
      <c r="BW113" s="1168"/>
      <c r="BX113" s="1168"/>
      <c r="BY113" s="1168"/>
      <c r="BZ113" s="1168"/>
      <c r="CA113" s="1168"/>
      <c r="CB113" s="1168"/>
      <c r="CC113" s="1168"/>
      <c r="CD113" s="1168"/>
      <c r="CE113" s="1168"/>
    </row>
    <row s="2666" customFormat="1" customHeight="1" ht="11.25" hidden="1">
      <c r="A114" s="1834"/>
      <c r="B114" s="1676"/>
      <c r="C114" s="1676"/>
      <c r="D114" s="2362"/>
      <c r="E114" s="641"/>
      <c r="F114" s="641">
        <v>0</v>
      </c>
      <c r="G114" s="641"/>
      <c r="H114" s="641"/>
      <c r="I114" s="641"/>
      <c r="J114" s="641"/>
      <c r="K114" s="641"/>
      <c r="L114" s="641"/>
      <c r="M114" s="641"/>
      <c r="N114" s="641"/>
      <c r="O114" s="641"/>
      <c r="P114" s="641"/>
      <c r="Q114" s="641"/>
      <c r="R114" s="641"/>
      <c r="S114" s="642"/>
      <c r="T114" s="724"/>
      <c r="U114" s="2223"/>
      <c r="V114" s="2223"/>
      <c r="W114" s="1676"/>
      <c r="X114" s="1676"/>
      <c r="Y114" s="1676"/>
      <c r="Z114" s="1676"/>
      <c r="AA114" s="1676"/>
      <c r="AB114" s="1168"/>
      <c r="AC114" s="1837"/>
      <c r="AD114" s="635"/>
      <c r="AE114" s="1168"/>
      <c r="AF114" s="1168"/>
      <c r="AG114" s="1676"/>
      <c r="AH114" s="1676"/>
      <c r="AI114" s="1676"/>
      <c r="AJ114" s="1676"/>
      <c r="AK114" s="1676"/>
      <c r="AL114" s="1676"/>
      <c r="AM114" s="1676"/>
      <c r="AN114" s="1676"/>
      <c r="AO114" s="1676"/>
      <c r="AP114" s="1676"/>
      <c r="AQ114" s="1676"/>
      <c r="AR114" s="1676"/>
      <c r="AS114" s="1676"/>
      <c r="AT114" s="1676"/>
      <c r="AU114" s="1676"/>
      <c r="AV114" s="1676"/>
      <c r="AW114" s="1676"/>
      <c r="AX114" s="1676"/>
      <c r="AY114" s="1676"/>
      <c r="AZ114" s="1676"/>
      <c r="BA114" s="1676"/>
      <c r="BB114" s="1676"/>
      <c r="BC114" s="1676"/>
      <c r="BD114" s="1676"/>
      <c r="BE114" s="1676"/>
      <c r="BF114" s="1676"/>
      <c r="BG114" s="1676"/>
      <c r="BH114" s="1676"/>
      <c r="BI114" s="1676"/>
      <c r="BJ114" s="1676"/>
      <c r="BK114" s="1676"/>
      <c r="BL114" s="1676"/>
      <c r="BM114" s="1676"/>
      <c r="BN114" s="1676"/>
      <c r="BO114" s="1676"/>
      <c r="BP114" s="1676"/>
      <c r="BQ114" s="1676"/>
      <c r="BR114" s="1676"/>
      <c r="BS114" s="1676"/>
      <c r="BT114" s="1676"/>
      <c r="BU114" s="1676"/>
      <c r="BV114" s="1676"/>
      <c r="BW114" s="1676"/>
      <c r="BX114" s="1676"/>
      <c r="BY114" s="1676"/>
      <c r="BZ114" s="1676"/>
      <c r="CA114" s="1676"/>
      <c r="CB114" s="1676"/>
      <c r="CC114" s="1676"/>
      <c r="CD114" s="1676"/>
      <c r="CE114" s="1676"/>
    </row>
    <row s="2666" customFormat="1" customHeight="1" ht="11.25">
      <c r="A115" s="1847"/>
      <c r="B115" s="1168"/>
      <c r="C115" s="418"/>
      <c r="D115" s="2363"/>
      <c r="E115" s="655" t="s">
        <v>24</v>
      </c>
      <c r="F115" s="1176" t="s">
        <v>24</v>
      </c>
      <c r="G115" s="1176" t="s">
        <v>1163</v>
      </c>
      <c r="H115" s="657" t="s">
        <v>24</v>
      </c>
      <c r="I115" s="657"/>
      <c r="J115" s="657"/>
      <c r="K115" s="657"/>
      <c r="L115" s="657"/>
      <c r="M115" s="657"/>
      <c r="N115" s="657"/>
      <c r="O115" s="657"/>
      <c r="P115" s="657"/>
      <c r="Q115" s="657"/>
      <c r="R115" s="658"/>
      <c r="S115" s="659"/>
      <c r="T115" s="724"/>
      <c r="U115" s="2223"/>
      <c r="V115" s="2223"/>
      <c r="W115" s="1168"/>
      <c r="X115" s="1168"/>
      <c r="Y115" s="1168"/>
      <c r="Z115" s="1168"/>
      <c r="AA115" s="1676"/>
      <c r="AB115" s="1168"/>
      <c r="AC115" s="1837"/>
      <c r="AD115" s="635"/>
      <c r="AE115" s="1168"/>
      <c r="AF115" s="1168"/>
      <c r="AG115" s="1676"/>
      <c r="AH115" s="1676"/>
      <c r="AI115" s="1676"/>
      <c r="AJ115" s="1676"/>
      <c r="AK115" s="1676"/>
      <c r="AL115" s="1676"/>
      <c r="AM115" s="1676"/>
      <c r="AN115" s="1676"/>
      <c r="AO115" s="1676"/>
      <c r="AP115" s="1676"/>
      <c r="AQ115" s="1676"/>
      <c r="AR115" s="1676"/>
      <c r="AS115" s="1676"/>
      <c r="AT115" s="1676"/>
      <c r="AU115" s="1676"/>
      <c r="AV115" s="1676"/>
      <c r="AW115" s="1676"/>
      <c r="AX115" s="1676"/>
      <c r="AY115" s="1676"/>
      <c r="AZ115" s="1676"/>
      <c r="BA115" s="1676"/>
      <c r="BB115" s="1676"/>
      <c r="BC115" s="1676"/>
      <c r="BD115" s="1676"/>
      <c r="BE115" s="1676"/>
      <c r="BF115" s="1676"/>
      <c r="BG115" s="1676"/>
      <c r="BH115" s="1676"/>
      <c r="BI115" s="1676"/>
      <c r="BJ115" s="1676"/>
      <c r="BK115" s="1676"/>
      <c r="BL115" s="1676"/>
      <c r="BM115" s="1676"/>
      <c r="BN115" s="1676"/>
      <c r="BO115" s="1676"/>
      <c r="BP115" s="1676"/>
      <c r="BQ115" s="1676"/>
      <c r="BR115" s="1676"/>
      <c r="BS115" s="1676"/>
      <c r="BT115" s="1676"/>
      <c r="BU115" s="1676"/>
      <c r="BV115" s="1168"/>
      <c r="BW115" s="1168"/>
      <c r="BX115" s="1168"/>
      <c r="BY115" s="1168"/>
      <c r="BZ115" s="1168"/>
      <c r="CA115" s="1168"/>
      <c r="CB115" s="1168"/>
      <c r="CC115" s="1168"/>
      <c r="CD115" s="1168"/>
      <c r="CE115" s="1168"/>
    </row>
    <row r="117" s="4798" customFormat="1" customHeight="1" ht="11.25">
      <c r="A117" s="1856" t="s">
        <v>1164</v>
      </c>
    </row>
    <row r="119" s="2666" customFormat="1" customHeight="1" ht="15">
      <c r="A119" s="629"/>
      <c r="B119" s="630"/>
      <c r="C119" s="630"/>
      <c r="D119" s="2361" t="s">
        <v>108</v>
      </c>
      <c r="E119" s="2225" t="s">
        <v>104</v>
      </c>
      <c r="F119" s="2226"/>
      <c r="G119" s="2227"/>
      <c r="H119" s="2220" t="str">
        <f>IF(A119="","",INDEX(DIFFERENTIATION_UNMERGE_VD,MATCH(A119,DIFFERENTIATION_ID_DIFF,0)))</f>
        <v/>
      </c>
      <c r="I119" s="2220"/>
      <c r="J119" s="2220"/>
      <c r="K119" s="2220"/>
      <c r="L119" s="2220"/>
      <c r="M119" s="2220"/>
      <c r="N119" s="2220"/>
      <c r="O119" s="2220"/>
      <c r="P119" s="2220"/>
      <c r="Q119" s="2220"/>
      <c r="R119" s="2220"/>
      <c r="S119" s="725"/>
      <c r="T119" s="722"/>
      <c r="U119" s="631"/>
      <c r="V119" s="631"/>
      <c r="W119" s="632"/>
      <c r="X119" s="632"/>
      <c r="Y119" s="632"/>
      <c r="Z119" s="632"/>
      <c r="AA119" s="633"/>
      <c r="AB119" s="634"/>
      <c r="AC119" s="2224"/>
      <c r="AD119" s="635"/>
      <c r="AE119" s="636" t="s">
        <v>24</v>
      </c>
      <c r="AF119" s="636"/>
      <c r="AG119" s="637" t="s">
        <v>596</v>
      </c>
      <c r="AH119" s="638">
        <v>3</v>
      </c>
      <c r="AI119" s="631"/>
      <c r="AJ119" s="631"/>
      <c r="AK119" s="631"/>
      <c r="AL119" s="631"/>
      <c r="AM119" s="631"/>
      <c r="AN119" s="631"/>
      <c r="AO119" s="631"/>
      <c r="AP119" s="631"/>
      <c r="AQ119" s="631"/>
      <c r="AR119" s="631"/>
      <c r="AS119" s="631"/>
      <c r="AT119" s="631"/>
      <c r="AU119" s="631"/>
      <c r="AV119" s="631"/>
      <c r="AW119" s="631"/>
      <c r="AX119" s="631"/>
      <c r="AY119" s="631"/>
      <c r="AZ119" s="631"/>
      <c r="BA119" s="631"/>
      <c r="BB119" s="631"/>
      <c r="BC119" s="631"/>
      <c r="BD119" s="631"/>
      <c r="BE119" s="631"/>
      <c r="BF119" s="631"/>
      <c r="BG119" s="631"/>
      <c r="BH119" s="631"/>
      <c r="BI119" s="631"/>
      <c r="BJ119" s="631"/>
      <c r="BK119" s="631"/>
      <c r="BL119" s="631"/>
      <c r="BM119" s="631"/>
      <c r="BN119" s="631"/>
      <c r="BO119" s="631"/>
      <c r="BP119" s="631"/>
      <c r="BQ119" s="631"/>
      <c r="BR119" s="631"/>
      <c r="BS119" s="631"/>
      <c r="BT119" s="631"/>
      <c r="BU119" s="631"/>
      <c r="BV119" s="632"/>
      <c r="BW119" s="632"/>
      <c r="BX119" s="632"/>
      <c r="BY119" s="632"/>
      <c r="BZ119" s="632"/>
      <c r="CA119" s="632"/>
      <c r="CB119" s="632"/>
      <c r="CC119" s="632"/>
      <c r="CD119" s="632"/>
      <c r="CE119" s="632"/>
    </row>
    <row s="2666" customFormat="1" customHeight="1" ht="15">
      <c r="A120" s="629"/>
      <c r="B120" s="630"/>
      <c r="C120" s="630"/>
      <c r="D120" s="2362"/>
      <c r="E120" s="2225" t="s">
        <v>551</v>
      </c>
      <c r="F120" s="2226"/>
      <c r="G120" s="2227"/>
      <c r="H120" s="2220" t="str">
        <f>IF(A119="","",INDEX(DIFFERENTIATION_UNMERGE_AREA,MATCH(A119,DIFFERENTIATION_ID_DIFF,0)))</f>
        <v/>
      </c>
      <c r="I120" s="2220"/>
      <c r="J120" s="2220"/>
      <c r="K120" s="2220"/>
      <c r="L120" s="2220"/>
      <c r="M120" s="2220"/>
      <c r="N120" s="2220"/>
      <c r="O120" s="2220"/>
      <c r="P120" s="2220"/>
      <c r="Q120" s="2220"/>
      <c r="R120" s="2220"/>
      <c r="S120" s="725"/>
      <c r="T120" s="722"/>
      <c r="U120" s="631"/>
      <c r="V120" s="631"/>
      <c r="W120" s="632"/>
      <c r="X120" s="632"/>
      <c r="Y120" s="632"/>
      <c r="Z120" s="632"/>
      <c r="AA120" s="633"/>
      <c r="AB120" s="634"/>
      <c r="AC120" s="2224"/>
      <c r="AD120" s="635"/>
      <c r="AE120" s="636"/>
      <c r="AF120" s="636"/>
      <c r="AG120" s="637"/>
      <c r="AH120" s="638"/>
      <c r="AI120" s="631"/>
      <c r="AJ120" s="631"/>
      <c r="AK120" s="631"/>
      <c r="AL120" s="631"/>
      <c r="AM120" s="631"/>
      <c r="AN120" s="631"/>
      <c r="AO120" s="631"/>
      <c r="AP120" s="631"/>
      <c r="AQ120" s="631"/>
      <c r="AR120" s="631"/>
      <c r="AS120" s="631"/>
      <c r="AT120" s="631"/>
      <c r="AU120" s="631"/>
      <c r="AV120" s="631"/>
      <c r="AW120" s="631"/>
      <c r="AX120" s="631"/>
      <c r="AY120" s="631"/>
      <c r="AZ120" s="631"/>
      <c r="BA120" s="631"/>
      <c r="BB120" s="631"/>
      <c r="BC120" s="631"/>
      <c r="BD120" s="631"/>
      <c r="BE120" s="631"/>
      <c r="BF120" s="631"/>
      <c r="BG120" s="631"/>
      <c r="BH120" s="631"/>
      <c r="BI120" s="631"/>
      <c r="BJ120" s="631"/>
      <c r="BK120" s="631"/>
      <c r="BL120" s="631"/>
      <c r="BM120" s="631"/>
      <c r="BN120" s="631"/>
      <c r="BO120" s="631"/>
      <c r="BP120" s="631"/>
      <c r="BQ120" s="631"/>
      <c r="BR120" s="631"/>
      <c r="BS120" s="631"/>
      <c r="BT120" s="631"/>
      <c r="BU120" s="631"/>
      <c r="BV120" s="632"/>
      <c r="BW120" s="632"/>
      <c r="BX120" s="632"/>
      <c r="BY120" s="632"/>
      <c r="BZ120" s="632"/>
      <c r="CA120" s="632"/>
      <c r="CB120" s="632"/>
      <c r="CC120" s="632"/>
      <c r="CD120" s="632"/>
      <c r="CE120" s="632"/>
    </row>
    <row s="2666" customFormat="1" customHeight="1" ht="15">
      <c r="A121" s="629"/>
      <c r="B121" s="630"/>
      <c r="C121" s="630"/>
      <c r="D121" s="2362"/>
      <c r="E121" s="2225" t="s">
        <v>552</v>
      </c>
      <c r="F121" s="2226"/>
      <c r="G121" s="2227"/>
      <c r="H121" s="2220" t="str">
        <f>IF(A119="","",INDEX(DIFFERENTIATION_UNMERGE_SYSTEM,MATCH(A119,DIFFERENTIATION_ID_DIFF,0)))</f>
        <v/>
      </c>
      <c r="I121" s="2220"/>
      <c r="J121" s="2220"/>
      <c r="K121" s="2220"/>
      <c r="L121" s="2220"/>
      <c r="M121" s="2220"/>
      <c r="N121" s="2220"/>
      <c r="O121" s="2220"/>
      <c r="P121" s="2220"/>
      <c r="Q121" s="2220"/>
      <c r="R121" s="2220"/>
      <c r="S121" s="725"/>
      <c r="T121" s="722"/>
      <c r="U121" s="631"/>
      <c r="V121" s="631"/>
      <c r="W121" s="632"/>
      <c r="X121" s="632"/>
      <c r="Y121" s="632"/>
      <c r="Z121" s="632"/>
      <c r="AA121" s="633"/>
      <c r="AB121" s="634"/>
      <c r="AC121" s="2224"/>
      <c r="AD121" s="635"/>
      <c r="AE121" s="636"/>
      <c r="AF121" s="636"/>
      <c r="AG121" s="637"/>
      <c r="AH121" s="638"/>
      <c r="AI121" s="631"/>
      <c r="AJ121" s="631"/>
      <c r="AK121" s="631"/>
      <c r="AL121" s="631"/>
      <c r="AM121" s="631"/>
      <c r="AN121" s="631"/>
      <c r="AO121" s="631"/>
      <c r="AP121" s="631"/>
      <c r="AQ121" s="631"/>
      <c r="AR121" s="631"/>
      <c r="AS121" s="631"/>
      <c r="AT121" s="631"/>
      <c r="AU121" s="631"/>
      <c r="AV121" s="631"/>
      <c r="AW121" s="631"/>
      <c r="AX121" s="631"/>
      <c r="AY121" s="631"/>
      <c r="AZ121" s="631"/>
      <c r="BA121" s="631"/>
      <c r="BB121" s="631"/>
      <c r="BC121" s="631"/>
      <c r="BD121" s="631"/>
      <c r="BE121" s="631"/>
      <c r="BF121" s="631"/>
      <c r="BG121" s="631"/>
      <c r="BH121" s="631"/>
      <c r="BI121" s="631"/>
      <c r="BJ121" s="631"/>
      <c r="BK121" s="631"/>
      <c r="BL121" s="631"/>
      <c r="BM121" s="631"/>
      <c r="BN121" s="631"/>
      <c r="BO121" s="631"/>
      <c r="BP121" s="631"/>
      <c r="BQ121" s="631"/>
      <c r="BR121" s="631"/>
      <c r="BS121" s="631"/>
      <c r="BT121" s="631"/>
      <c r="BU121" s="631"/>
      <c r="BV121" s="632"/>
      <c r="BW121" s="632"/>
      <c r="BX121" s="632"/>
      <c r="BY121" s="632"/>
      <c r="BZ121" s="632"/>
      <c r="CA121" s="632"/>
      <c r="CB121" s="632"/>
      <c r="CC121" s="632"/>
      <c r="CD121" s="632"/>
      <c r="CE121" s="632"/>
    </row>
    <row s="2666" customFormat="1" customHeight="1" ht="24.75">
      <c r="A122" s="1847"/>
      <c r="B122" s="1168"/>
      <c r="C122" s="418"/>
      <c r="D122" s="2362"/>
      <c r="E122" s="2222" t="s">
        <v>597</v>
      </c>
      <c r="F122" s="2222"/>
      <c r="G122" s="2222"/>
      <c r="H122" s="2222"/>
      <c r="I122" s="2222"/>
      <c r="J122" s="2222"/>
      <c r="K122" s="2222"/>
      <c r="L122" s="2222"/>
      <c r="M122" s="2222"/>
      <c r="N122" s="2222"/>
      <c r="O122" s="2222"/>
      <c r="P122" s="2222"/>
      <c r="Q122" s="564">
        <f>SUMIF(T123:T124,"i",Q123:Q124)</f>
        <v>0</v>
      </c>
      <c r="R122" s="1024"/>
      <c r="S122" s="1839" t="s">
        <v>598</v>
      </c>
      <c r="T122" s="723" t="s">
        <v>599</v>
      </c>
      <c r="U122" s="2223">
        <v>1</v>
      </c>
      <c r="V122" s="2223" t="s">
        <v>562</v>
      </c>
      <c r="W122" s="1168"/>
      <c r="X122" s="1168"/>
      <c r="Y122" s="1168"/>
      <c r="Z122" s="1168"/>
      <c r="AA122" s="1676"/>
      <c r="AB122" s="1168"/>
      <c r="AC122" s="2224"/>
      <c r="AD122" s="635"/>
      <c r="AE122" s="1168"/>
      <c r="AF122" s="1168"/>
      <c r="AG122" s="1676"/>
      <c r="AH122" s="1676"/>
      <c r="AI122" s="1676"/>
      <c r="AJ122" s="1676"/>
      <c r="AK122" s="1676"/>
      <c r="AL122" s="1676"/>
      <c r="AM122" s="1676"/>
      <c r="AN122" s="1676"/>
      <c r="AO122" s="1676"/>
      <c r="AP122" s="1676"/>
      <c r="AQ122" s="1676"/>
      <c r="AR122" s="1676"/>
      <c r="AS122" s="1676"/>
      <c r="AT122" s="1676"/>
      <c r="AU122" s="1676"/>
      <c r="AV122" s="1676"/>
      <c r="AW122" s="1676"/>
      <c r="AX122" s="1676"/>
      <c r="AY122" s="1676"/>
      <c r="AZ122" s="1676"/>
      <c r="BA122" s="1676"/>
      <c r="BB122" s="1676"/>
      <c r="BC122" s="1676"/>
      <c r="BD122" s="1676"/>
      <c r="BE122" s="1676"/>
      <c r="BF122" s="1676"/>
      <c r="BG122" s="1676"/>
      <c r="BH122" s="1676"/>
      <c r="BI122" s="1676"/>
      <c r="BJ122" s="1676"/>
      <c r="BK122" s="1676"/>
      <c r="BL122" s="1676"/>
      <c r="BM122" s="1676"/>
      <c r="BN122" s="1676"/>
      <c r="BO122" s="1676"/>
      <c r="BP122" s="1676"/>
      <c r="BQ122" s="1676"/>
      <c r="BR122" s="1676"/>
      <c r="BS122" s="1676"/>
      <c r="BT122" s="1676"/>
      <c r="BU122" s="1676"/>
      <c r="BV122" s="1168"/>
      <c r="BW122" s="1168"/>
      <c r="BX122" s="1168"/>
      <c r="BY122" s="1168"/>
      <c r="BZ122" s="1168"/>
      <c r="CA122" s="1168"/>
      <c r="CB122" s="1168"/>
      <c r="CC122" s="1168"/>
      <c r="CD122" s="1168"/>
      <c r="CE122" s="1168"/>
    </row>
    <row s="2666" customFormat="1" customHeight="1" ht="11.25" hidden="1">
      <c r="A123" s="1834"/>
      <c r="B123" s="1676"/>
      <c r="C123" s="1676"/>
      <c r="D123" s="2362"/>
      <c r="E123" s="641"/>
      <c r="F123" s="641">
        <v>0</v>
      </c>
      <c r="G123" s="641"/>
      <c r="H123" s="641"/>
      <c r="I123" s="641"/>
      <c r="J123" s="641"/>
      <c r="K123" s="641"/>
      <c r="L123" s="641"/>
      <c r="M123" s="641"/>
      <c r="N123" s="641"/>
      <c r="O123" s="641"/>
      <c r="P123" s="641"/>
      <c r="Q123" s="641"/>
      <c r="R123" s="641"/>
      <c r="S123" s="642"/>
      <c r="T123" s="724"/>
      <c r="U123" s="2223"/>
      <c r="V123" s="2223"/>
      <c r="W123" s="1676"/>
      <c r="X123" s="1676"/>
      <c r="Y123" s="1676"/>
      <c r="Z123" s="1676"/>
      <c r="AA123" s="1676"/>
      <c r="AB123" s="1168"/>
      <c r="AC123" s="2224"/>
      <c r="AD123" s="635"/>
      <c r="AE123" s="1168"/>
      <c r="AF123" s="1168"/>
      <c r="AG123" s="1676"/>
      <c r="AH123" s="1676"/>
      <c r="AI123" s="1676"/>
      <c r="AJ123" s="1676"/>
      <c r="AK123" s="1676"/>
      <c r="AL123" s="1676"/>
      <c r="AM123" s="1676"/>
      <c r="AN123" s="1676"/>
      <c r="AO123" s="1676"/>
      <c r="AP123" s="1676"/>
      <c r="AQ123" s="1676"/>
      <c r="AR123" s="1676"/>
      <c r="AS123" s="1676"/>
      <c r="AT123" s="1676"/>
      <c r="AU123" s="1676"/>
      <c r="AV123" s="1676"/>
      <c r="AW123" s="1676"/>
      <c r="AX123" s="1676"/>
      <c r="AY123" s="1676"/>
      <c r="AZ123" s="1676"/>
      <c r="BA123" s="1676"/>
      <c r="BB123" s="1676"/>
      <c r="BC123" s="1676"/>
      <c r="BD123" s="1676"/>
      <c r="BE123" s="1676"/>
      <c r="BF123" s="1676"/>
      <c r="BG123" s="1676"/>
      <c r="BH123" s="1676"/>
      <c r="BI123" s="1676"/>
      <c r="BJ123" s="1676"/>
      <c r="BK123" s="1676"/>
      <c r="BL123" s="1676"/>
      <c r="BM123" s="1676"/>
      <c r="BN123" s="1676"/>
      <c r="BO123" s="1676"/>
      <c r="BP123" s="1676"/>
      <c r="BQ123" s="1676"/>
      <c r="BR123" s="1676"/>
      <c r="BS123" s="1676"/>
      <c r="BT123" s="1676"/>
      <c r="BU123" s="1676"/>
      <c r="BV123" s="1676"/>
      <c r="BW123" s="1676"/>
      <c r="BX123" s="1676"/>
      <c r="BY123" s="1676"/>
      <c r="BZ123" s="1676"/>
      <c r="CA123" s="1676"/>
      <c r="CB123" s="1676"/>
      <c r="CC123" s="1676"/>
      <c r="CD123" s="1676"/>
      <c r="CE123" s="1676"/>
    </row>
    <row s="2666" customFormat="1" customHeight="1" ht="11.25">
      <c r="A124" s="1847"/>
      <c r="B124" s="1168"/>
      <c r="C124" s="418"/>
      <c r="D124" s="2362"/>
      <c r="E124" s="655" t="s">
        <v>24</v>
      </c>
      <c r="F124" s="1176" t="s">
        <v>24</v>
      </c>
      <c r="G124" s="1176" t="s">
        <v>1163</v>
      </c>
      <c r="H124" s="657" t="s">
        <v>24</v>
      </c>
      <c r="I124" s="657"/>
      <c r="J124" s="657"/>
      <c r="K124" s="657"/>
      <c r="L124" s="657"/>
      <c r="M124" s="657"/>
      <c r="N124" s="657"/>
      <c r="O124" s="657"/>
      <c r="P124" s="657"/>
      <c r="Q124" s="657"/>
      <c r="R124" s="658"/>
      <c r="S124" s="659"/>
      <c r="T124" s="724"/>
      <c r="U124" s="2223"/>
      <c r="V124" s="2223"/>
      <c r="W124" s="1168"/>
      <c r="X124" s="1168"/>
      <c r="Y124" s="1168"/>
      <c r="Z124" s="1168"/>
      <c r="AA124" s="1676"/>
      <c r="AB124" s="1168"/>
      <c r="AC124" s="2224"/>
      <c r="AD124" s="635"/>
      <c r="AE124" s="1168"/>
      <c r="AF124" s="1168"/>
      <c r="AG124" s="1676"/>
      <c r="AH124" s="1676"/>
      <c r="AI124" s="1676"/>
      <c r="AJ124" s="1676"/>
      <c r="AK124" s="1676"/>
      <c r="AL124" s="1676"/>
      <c r="AM124" s="1676"/>
      <c r="AN124" s="1676"/>
      <c r="AO124" s="1676"/>
      <c r="AP124" s="1676"/>
      <c r="AQ124" s="1676"/>
      <c r="AR124" s="1676"/>
      <c r="AS124" s="1676"/>
      <c r="AT124" s="1676"/>
      <c r="AU124" s="1676"/>
      <c r="AV124" s="1676"/>
      <c r="AW124" s="1676"/>
      <c r="AX124" s="1676"/>
      <c r="AY124" s="1676"/>
      <c r="AZ124" s="1676"/>
      <c r="BA124" s="1676"/>
      <c r="BB124" s="1676"/>
      <c r="BC124" s="1676"/>
      <c r="BD124" s="1676"/>
      <c r="BE124" s="1676"/>
      <c r="BF124" s="1676"/>
      <c r="BG124" s="1676"/>
      <c r="BH124" s="1676"/>
      <c r="BI124" s="1676"/>
      <c r="BJ124" s="1676"/>
      <c r="BK124" s="1676"/>
      <c r="BL124" s="1676"/>
      <c r="BM124" s="1676"/>
      <c r="BN124" s="1676"/>
      <c r="BO124" s="1676"/>
      <c r="BP124" s="1676"/>
      <c r="BQ124" s="1676"/>
      <c r="BR124" s="1676"/>
      <c r="BS124" s="1676"/>
      <c r="BT124" s="1676"/>
      <c r="BU124" s="1676"/>
      <c r="BV124" s="1168"/>
      <c r="BW124" s="1168"/>
      <c r="BX124" s="1168"/>
      <c r="BY124" s="1168"/>
      <c r="BZ124" s="1168"/>
      <c r="CA124" s="1168"/>
      <c r="CB124" s="1168"/>
      <c r="CC124" s="1168"/>
      <c r="CD124" s="1168"/>
      <c r="CE124" s="1168"/>
    </row>
    <row s="2674" customFormat="1" customHeight="1" ht="5.25" hidden="1">
      <c r="A125" s="1834"/>
      <c r="B125" s="1676"/>
      <c r="C125" s="1676"/>
      <c r="D125" s="2362"/>
      <c r="E125" s="1046"/>
      <c r="F125" s="1046"/>
      <c r="G125" s="1046"/>
      <c r="H125" s="1046"/>
      <c r="I125" s="1046"/>
      <c r="J125" s="1046"/>
      <c r="K125" s="1046"/>
      <c r="L125" s="1046"/>
      <c r="M125" s="1046"/>
      <c r="N125" s="1046"/>
      <c r="O125" s="1046"/>
      <c r="P125" s="1046"/>
      <c r="Q125" s="1047"/>
      <c r="R125" s="1048"/>
      <c r="S125" s="1049"/>
      <c r="T125" s="723" t="s">
        <v>599</v>
      </c>
      <c r="U125" s="2223">
        <v>1</v>
      </c>
      <c r="V125" s="2223" t="s">
        <v>562</v>
      </c>
      <c r="W125" s="1676"/>
      <c r="X125" s="1676"/>
      <c r="Y125" s="1676"/>
      <c r="Z125" s="1676"/>
      <c r="AA125" s="1676"/>
      <c r="AB125" s="1676"/>
      <c r="AC125" s="1044"/>
      <c r="AD125" s="1045"/>
      <c r="AE125" s="1676"/>
      <c r="AF125" s="1676"/>
      <c r="AG125" s="1676"/>
      <c r="AH125" s="1676"/>
      <c r="AI125" s="1676"/>
      <c r="AJ125" s="1676"/>
      <c r="AK125" s="1676"/>
      <c r="AL125" s="1676"/>
      <c r="AM125" s="1676"/>
      <c r="AN125" s="1676"/>
      <c r="AO125" s="1676"/>
      <c r="AP125" s="1676"/>
      <c r="AQ125" s="1676"/>
      <c r="AR125" s="1676"/>
      <c r="AS125" s="1676"/>
      <c r="AT125" s="1676"/>
      <c r="AU125" s="1676"/>
      <c r="AV125" s="1676"/>
      <c r="AW125" s="1676"/>
      <c r="AX125" s="1676"/>
      <c r="AY125" s="1676"/>
      <c r="AZ125" s="1676"/>
      <c r="BA125" s="1676"/>
      <c r="BB125" s="1676"/>
      <c r="BC125" s="1676"/>
      <c r="BD125" s="1676"/>
      <c r="BE125" s="1676"/>
      <c r="BF125" s="1676"/>
      <c r="BG125" s="1676"/>
      <c r="BH125" s="1676"/>
      <c r="BI125" s="1676"/>
      <c r="BJ125" s="1676"/>
      <c r="BK125" s="1676"/>
      <c r="BL125" s="1676"/>
      <c r="BM125" s="1676"/>
      <c r="BN125" s="1676"/>
      <c r="BO125" s="1676"/>
      <c r="BP125" s="1676"/>
      <c r="BQ125" s="1676"/>
      <c r="BR125" s="1676"/>
      <c r="BS125" s="1676"/>
      <c r="BT125" s="1676"/>
      <c r="BU125" s="1676"/>
      <c r="BV125" s="1676"/>
      <c r="BW125" s="1676"/>
      <c r="BX125" s="1676"/>
      <c r="BY125" s="1676"/>
      <c r="BZ125" s="1676"/>
      <c r="CA125" s="1676"/>
      <c r="CB125" s="1676"/>
      <c r="CC125" s="1676"/>
      <c r="CD125" s="1676"/>
      <c r="CE125" s="1676"/>
    </row>
    <row s="2674" customFormat="1" customHeight="1" ht="5.25" hidden="1">
      <c r="A126" s="1834"/>
      <c r="B126" s="1676"/>
      <c r="C126" s="1676"/>
      <c r="D126" s="2362"/>
      <c r="E126" s="641"/>
      <c r="F126" s="641"/>
      <c r="G126" s="641"/>
      <c r="H126" s="641"/>
      <c r="I126" s="641"/>
      <c r="J126" s="641"/>
      <c r="K126" s="641"/>
      <c r="L126" s="641"/>
      <c r="M126" s="641"/>
      <c r="N126" s="641"/>
      <c r="O126" s="641"/>
      <c r="P126" s="641"/>
      <c r="Q126" s="641"/>
      <c r="R126" s="641"/>
      <c r="S126" s="642"/>
      <c r="T126" s="724"/>
      <c r="U126" s="2223"/>
      <c r="V126" s="2223"/>
      <c r="W126" s="1676"/>
      <c r="X126" s="1676"/>
      <c r="Y126" s="1676"/>
      <c r="Z126" s="1676"/>
      <c r="AA126" s="1676"/>
      <c r="AB126" s="1676"/>
      <c r="AC126" s="1044"/>
      <c r="AD126" s="1045"/>
      <c r="AE126" s="1676"/>
      <c r="AF126" s="1676"/>
      <c r="AG126" s="1676"/>
      <c r="AH126" s="1676"/>
      <c r="AI126" s="1676"/>
      <c r="AJ126" s="1676"/>
      <c r="AK126" s="1676"/>
      <c r="AL126" s="1676"/>
      <c r="AM126" s="1676"/>
      <c r="AN126" s="1676"/>
      <c r="AO126" s="1676"/>
      <c r="AP126" s="1676"/>
      <c r="AQ126" s="1676"/>
      <c r="AR126" s="1676"/>
      <c r="AS126" s="1676"/>
      <c r="AT126" s="1676"/>
      <c r="AU126" s="1676"/>
      <c r="AV126" s="1676"/>
      <c r="AW126" s="1676"/>
      <c r="AX126" s="1676"/>
      <c r="AY126" s="1676"/>
      <c r="AZ126" s="1676"/>
      <c r="BA126" s="1676"/>
      <c r="BB126" s="1676"/>
      <c r="BC126" s="1676"/>
      <c r="BD126" s="1676"/>
      <c r="BE126" s="1676"/>
      <c r="BF126" s="1676"/>
      <c r="BG126" s="1676"/>
      <c r="BH126" s="1676"/>
      <c r="BI126" s="1676"/>
      <c r="BJ126" s="1676"/>
      <c r="BK126" s="1676"/>
      <c r="BL126" s="1676"/>
      <c r="BM126" s="1676"/>
      <c r="BN126" s="1676"/>
      <c r="BO126" s="1676"/>
      <c r="BP126" s="1676"/>
      <c r="BQ126" s="1676"/>
      <c r="BR126" s="1676"/>
      <c r="BS126" s="1676"/>
      <c r="BT126" s="1676"/>
      <c r="BU126" s="1676"/>
      <c r="BV126" s="1676"/>
      <c r="BW126" s="1676"/>
      <c r="BX126" s="1676"/>
      <c r="BY126" s="1676"/>
      <c r="BZ126" s="1676"/>
      <c r="CA126" s="1676"/>
      <c r="CB126" s="1676"/>
      <c r="CC126" s="1676"/>
      <c r="CD126" s="1676"/>
      <c r="CE126" s="1676"/>
    </row>
    <row s="2674" customFormat="1" customHeight="1" ht="5.25" hidden="1">
      <c r="A127" s="1834"/>
      <c r="B127" s="1676"/>
      <c r="C127" s="1676"/>
      <c r="D127" s="2363"/>
      <c r="E127" s="1050"/>
      <c r="F127" s="1051"/>
      <c r="G127" s="1051"/>
      <c r="H127" s="1052"/>
      <c r="I127" s="1052"/>
      <c r="J127" s="1052"/>
      <c r="K127" s="1052"/>
      <c r="L127" s="1052"/>
      <c r="M127" s="1052"/>
      <c r="N127" s="1052"/>
      <c r="O127" s="1052"/>
      <c r="P127" s="1052"/>
      <c r="Q127" s="1052"/>
      <c r="R127" s="953"/>
      <c r="S127" s="1053"/>
      <c r="T127" s="724"/>
      <c r="U127" s="2223"/>
      <c r="V127" s="2223"/>
      <c r="W127" s="1676"/>
      <c r="X127" s="1676"/>
      <c r="Y127" s="1676"/>
      <c r="Z127" s="1676"/>
      <c r="AA127" s="1676"/>
      <c r="AB127" s="1676"/>
      <c r="AC127" s="1044"/>
      <c r="AD127" s="1045"/>
      <c r="AE127" s="1676"/>
      <c r="AF127" s="1676"/>
      <c r="AG127" s="1676"/>
      <c r="AH127" s="1676"/>
      <c r="AI127" s="1676"/>
      <c r="AJ127" s="1676"/>
      <c r="AK127" s="1676"/>
      <c r="AL127" s="1676"/>
      <c r="AM127" s="1676"/>
      <c r="AN127" s="1676"/>
      <c r="AO127" s="1676"/>
      <c r="AP127" s="1676"/>
      <c r="AQ127" s="1676"/>
      <c r="AR127" s="1676"/>
      <c r="AS127" s="1676"/>
      <c r="AT127" s="1676"/>
      <c r="AU127" s="1676"/>
      <c r="AV127" s="1676"/>
      <c r="AW127" s="1676"/>
      <c r="AX127" s="1676"/>
      <c r="AY127" s="1676"/>
      <c r="AZ127" s="1676"/>
      <c r="BA127" s="1676"/>
      <c r="BB127" s="1676"/>
      <c r="BC127" s="1676"/>
      <c r="BD127" s="1676"/>
      <c r="BE127" s="1676"/>
      <c r="BF127" s="1676"/>
      <c r="BG127" s="1676"/>
      <c r="BH127" s="1676"/>
      <c r="BI127" s="1676"/>
      <c r="BJ127" s="1676"/>
      <c r="BK127" s="1676"/>
      <c r="BL127" s="1676"/>
      <c r="BM127" s="1676"/>
      <c r="BN127" s="1676"/>
      <c r="BO127" s="1676"/>
      <c r="BP127" s="1676"/>
      <c r="BQ127" s="1676"/>
      <c r="BR127" s="1676"/>
      <c r="BS127" s="1676"/>
      <c r="BT127" s="1676"/>
      <c r="BU127" s="1676"/>
      <c r="BV127" s="1676"/>
      <c r="BW127" s="1676"/>
      <c r="BX127" s="1676"/>
      <c r="BY127" s="1676"/>
      <c r="BZ127" s="1676"/>
      <c r="CA127" s="1676"/>
      <c r="CB127" s="1676"/>
      <c r="CC127" s="1676"/>
      <c r="CD127" s="1676"/>
      <c r="CE127" s="1676"/>
    </row>
    <row customHeight="1" ht="17.25">
      <c r="D128" s="1877"/>
    </row>
    <row s="4798" customFormat="1" customHeight="1" ht="11.25">
      <c r="A129" s="1856" t="s">
        <v>1165</v>
      </c>
    </row>
    <row r="131" s="2666" customFormat="1" customHeight="1" ht="45">
      <c r="A131" s="1847"/>
      <c r="B131" s="1168"/>
      <c r="C131" s="418"/>
      <c r="D131" s="74"/>
      <c r="E131" s="2373"/>
      <c r="F131" s="1982" t="s">
        <v>108</v>
      </c>
      <c r="G131" s="2376" t="s">
        <v>24</v>
      </c>
      <c r="H131" s="277"/>
      <c r="I131" s="643" t="s">
        <v>108</v>
      </c>
      <c r="J131" s="1848" t="s">
        <v>1166</v>
      </c>
      <c r="K131" s="644" t="s">
        <v>533</v>
      </c>
      <c r="L131" s="2073" t="s">
        <v>533</v>
      </c>
      <c r="M131" s="2378"/>
      <c r="N131" s="644" t="s">
        <v>533</v>
      </c>
      <c r="O131" s="644" t="s">
        <v>533</v>
      </c>
      <c r="P131" s="644" t="s">
        <v>533</v>
      </c>
      <c r="Q131" s="645">
        <f>SUM(Q132:Q134)</f>
        <v>0</v>
      </c>
      <c r="R131" s="645">
        <f>IF(R128=0,0,(Q128/R128)*100)</f>
        <v>0</v>
      </c>
      <c r="S131" s="2041"/>
      <c r="T131" s="723" t="s">
        <v>599</v>
      </c>
      <c r="U131" s="74"/>
      <c r="V131" s="74"/>
      <c r="AC131" s="74"/>
    </row>
    <row s="2666" customFormat="1" customHeight="1" ht="11.25">
      <c r="A132" s="1847"/>
      <c r="B132" s="1168"/>
      <c r="C132" s="418"/>
      <c r="D132" s="74"/>
      <c r="E132" s="2374"/>
      <c r="F132" s="1982"/>
      <c r="G132" s="2376"/>
      <c r="H132" s="1971"/>
      <c r="I132" s="2356" t="s">
        <v>923</v>
      </c>
      <c r="J132" s="2370"/>
      <c r="K132" s="2371"/>
      <c r="L132" s="646"/>
      <c r="M132" s="647" t="s">
        <v>108</v>
      </c>
      <c r="N132" s="1836"/>
      <c r="O132" s="648"/>
      <c r="P132" s="649"/>
      <c r="Q132" s="648"/>
      <c r="R132" s="650">
        <v>0</v>
      </c>
      <c r="S132" s="2041"/>
      <c r="T132" s="723"/>
      <c r="U132" s="74"/>
      <c r="V132" s="74"/>
      <c r="AC132" s="74"/>
    </row>
    <row s="2666" customFormat="1" customHeight="1" ht="11.25">
      <c r="A133" s="1847"/>
      <c r="B133" s="1168"/>
      <c r="C133" s="418"/>
      <c r="D133" s="74"/>
      <c r="E133" s="2374"/>
      <c r="F133" s="1982"/>
      <c r="G133" s="2376"/>
      <c r="H133" s="1971"/>
      <c r="I133" s="2356"/>
      <c r="J133" s="2370"/>
      <c r="K133" s="2372"/>
      <c r="L133" s="651"/>
      <c r="M133" s="652"/>
      <c r="N133" s="653" t="s">
        <v>1167</v>
      </c>
      <c r="O133" s="653"/>
      <c r="P133" s="653"/>
      <c r="Q133" s="653"/>
      <c r="R133" s="654"/>
      <c r="S133" s="2041"/>
      <c r="T133" s="723"/>
      <c r="U133" s="74"/>
      <c r="V133" s="74"/>
      <c r="AC133" s="74"/>
    </row>
    <row s="2666" customFormat="1" customHeight="1" ht="11.25">
      <c r="A134" s="1847"/>
      <c r="B134" s="1168"/>
      <c r="C134" s="418"/>
      <c r="D134" s="74"/>
      <c r="E134" s="2375"/>
      <c r="F134" s="1982"/>
      <c r="G134" s="2377"/>
      <c r="H134" s="651" t="s">
        <v>24</v>
      </c>
      <c r="I134" s="652"/>
      <c r="J134" s="653" t="s">
        <v>1168</v>
      </c>
      <c r="K134" s="653"/>
      <c r="L134" s="653"/>
      <c r="M134" s="653"/>
      <c r="N134" s="653"/>
      <c r="O134" s="653"/>
      <c r="P134" s="653"/>
      <c r="Q134" s="653"/>
      <c r="R134" s="654"/>
      <c r="S134" s="2041"/>
      <c r="T134" s="723"/>
      <c r="U134" s="74"/>
      <c r="V134" s="74"/>
      <c r="AC134" s="74"/>
    </row>
    <row r="139" s="2666" customFormat="1" customHeight="1" ht="11.25">
      <c r="A139" s="1847"/>
      <c r="B139" s="1168"/>
      <c r="C139" s="418"/>
      <c r="D139" s="74"/>
      <c r="E139" s="1871"/>
      <c r="F139" s="1871"/>
      <c r="G139" s="1871"/>
      <c r="H139" s="1971"/>
      <c r="I139" s="2356" t="s">
        <v>923</v>
      </c>
      <c r="J139" s="2370"/>
      <c r="K139" s="2371"/>
      <c r="L139" s="646"/>
      <c r="M139" s="647" t="s">
        <v>108</v>
      </c>
      <c r="N139" s="1836"/>
      <c r="O139" s="648"/>
      <c r="P139" s="649"/>
      <c r="Q139" s="648"/>
      <c r="R139" s="650">
        <v>0</v>
      </c>
      <c r="S139" s="74"/>
      <c r="T139" s="723"/>
      <c r="U139" s="74"/>
      <c r="V139" s="74"/>
      <c r="AC139" s="74"/>
    </row>
    <row s="2666" customFormat="1" customHeight="1" ht="11.25">
      <c r="A140" s="1847"/>
      <c r="B140" s="1168"/>
      <c r="C140" s="418"/>
      <c r="D140" s="74"/>
      <c r="E140" s="1871"/>
      <c r="F140" s="1871"/>
      <c r="G140" s="1871"/>
      <c r="H140" s="1971"/>
      <c r="I140" s="2356"/>
      <c r="J140" s="2370"/>
      <c r="K140" s="2372"/>
      <c r="L140" s="651"/>
      <c r="M140" s="652"/>
      <c r="N140" s="653" t="s">
        <v>1167</v>
      </c>
      <c r="O140" s="653"/>
      <c r="P140" s="653"/>
      <c r="Q140" s="653"/>
      <c r="R140" s="654"/>
      <c r="S140" s="74"/>
      <c r="T140" s="723"/>
      <c r="U140" s="74"/>
      <c r="V140" s="74"/>
      <c r="AC140" s="74"/>
    </row>
    <row r="142" s="2666" customFormat="1" customHeight="1" ht="11.25">
      <c r="A142" s="1847"/>
      <c r="B142" s="1168"/>
      <c r="C142" s="418"/>
      <c r="D142" s="74"/>
      <c r="E142" s="1878"/>
      <c r="F142" s="1876"/>
      <c r="G142" s="1876"/>
      <c r="H142" s="1879"/>
      <c r="I142" s="1871"/>
      <c r="J142" s="1872"/>
      <c r="K142" s="1872"/>
      <c r="L142" s="646"/>
      <c r="M142" s="647" t="s">
        <v>108</v>
      </c>
      <c r="N142" s="1836"/>
      <c r="O142" s="648"/>
      <c r="P142" s="649"/>
      <c r="Q142" s="648"/>
      <c r="R142" s="650">
        <v>0</v>
      </c>
      <c r="S142" s="74"/>
      <c r="T142" s="723"/>
      <c r="U142" s="74"/>
      <c r="V142" s="74"/>
      <c r="AC142" s="74"/>
    </row>
    <row r="144" s="4798" customFormat="1" customHeight="1" ht="17.25">
      <c r="A144" s="1856" t="s">
        <v>1169</v>
      </c>
    </row>
    <row customHeight="1" ht="17.25">
      <c r="G145" s="1880"/>
      <c r="H145" s="1880"/>
      <c r="I145" s="1880"/>
      <c r="M145" s="1876"/>
    </row>
    <row s="4992" customFormat="1" customHeight="1" ht="17.25">
      <c r="A146" s="1881"/>
      <c r="C146" s="1883"/>
      <c r="D146" s="2353"/>
      <c r="E146" s="1993"/>
      <c r="F146" s="1995"/>
      <c r="G146" s="2359"/>
      <c r="H146" s="2353"/>
      <c r="I146" s="2353">
        <v>1</v>
      </c>
      <c r="J146" s="2389"/>
      <c r="K146" s="2044" t="s">
        <v>61</v>
      </c>
      <c r="L146" s="1982"/>
      <c r="M146" s="1982" t="s">
        <v>108</v>
      </c>
      <c r="N146" s="2387" t="str">
        <f>IF(Z146="","",INDEX(TERRITORY_MR_LIST,MATCH(Z146,TERRITORY_LIST_ID,0)))</f>
        <v/>
      </c>
      <c r="O146" s="2044" t="s">
        <v>61</v>
      </c>
      <c r="P146" s="1982"/>
      <c r="Q146" s="1982" t="s">
        <v>108</v>
      </c>
      <c r="R146" s="2358" t="s">
        <v>24</v>
      </c>
      <c r="S146" s="1981" t="s">
        <v>61</v>
      </c>
      <c r="T146" s="1852"/>
      <c r="U146" s="1852" t="s">
        <v>108</v>
      </c>
      <c r="V146" s="1884" t="s">
        <v>24</v>
      </c>
      <c r="W146" s="1842"/>
      <c r="Y146" s="1296"/>
      <c r="Z146" s="1296"/>
      <c r="AA146" s="1296"/>
      <c r="AB146" s="1296"/>
      <c r="AC146" s="1296"/>
      <c r="AD146" s="1296"/>
      <c r="AE146" s="1296"/>
      <c r="AF146" s="1296"/>
      <c r="AG146" s="1296"/>
      <c r="AH146" s="1296"/>
      <c r="AI146" s="1296"/>
      <c r="AJ146" s="1296"/>
      <c r="AK146" s="1296"/>
      <c r="AL146" s="1885"/>
      <c r="AM146" s="1885"/>
      <c r="AN146" s="1296"/>
      <c r="AO146" s="1296"/>
      <c r="AP146" s="1296"/>
      <c r="AQ146" s="1296"/>
    </row>
    <row s="4992" customFormat="1" customHeight="1" ht="17.25">
      <c r="A147" s="1881"/>
      <c r="C147" s="1886"/>
      <c r="D147" s="2353"/>
      <c r="E147" s="1993"/>
      <c r="F147" s="1996"/>
      <c r="G147" s="2359"/>
      <c r="H147" s="2353"/>
      <c r="I147" s="2353"/>
      <c r="J147" s="2389"/>
      <c r="K147" s="2045"/>
      <c r="L147" s="1982"/>
      <c r="M147" s="1982"/>
      <c r="N147" s="2387"/>
      <c r="O147" s="2045"/>
      <c r="P147" s="1982"/>
      <c r="Q147" s="1982"/>
      <c r="R147" s="2358"/>
      <c r="S147" s="1981"/>
      <c r="T147" s="310"/>
      <c r="U147" s="311"/>
      <c r="V147" s="311" t="s">
        <v>167</v>
      </c>
      <c r="W147" s="312"/>
      <c r="Y147" s="1288"/>
      <c r="Z147" s="1288"/>
      <c r="AA147" s="1288"/>
      <c r="AB147" s="1288"/>
      <c r="AC147" s="1288"/>
      <c r="AD147" s="1288"/>
      <c r="AE147" s="1288"/>
      <c r="AF147" s="1288"/>
      <c r="AG147" s="1288"/>
      <c r="AH147" s="1288"/>
      <c r="AI147" s="1288"/>
      <c r="AJ147" s="1288"/>
      <c r="AK147" s="1288"/>
    </row>
    <row s="4992" customFormat="1" customHeight="1" ht="17.25">
      <c r="A148" s="1881"/>
      <c r="C148" s="1886"/>
      <c r="D148" s="2354"/>
      <c r="E148" s="2386"/>
      <c r="F148" s="1996"/>
      <c r="G148" s="2360"/>
      <c r="H148" s="2354"/>
      <c r="I148" s="2354"/>
      <c r="J148" s="2390"/>
      <c r="K148" s="2045"/>
      <c r="L148" s="2354"/>
      <c r="M148" s="2354"/>
      <c r="N148" s="2388"/>
      <c r="O148" s="1986"/>
      <c r="P148" s="310"/>
      <c r="Q148" s="311"/>
      <c r="R148" s="311" t="s">
        <v>168</v>
      </c>
      <c r="S148" s="1887"/>
      <c r="T148" s="1887"/>
      <c r="U148" s="1887"/>
      <c r="V148" s="1887"/>
      <c r="W148" s="312"/>
      <c r="Y148" s="1288"/>
      <c r="Z148" s="1288"/>
      <c r="AA148" s="1288"/>
      <c r="AB148" s="1288"/>
      <c r="AC148" s="1288"/>
      <c r="AD148" s="1288"/>
      <c r="AE148" s="1288"/>
      <c r="AF148" s="1288"/>
      <c r="AG148" s="1288"/>
      <c r="AH148" s="1288"/>
      <c r="AI148" s="1288"/>
      <c r="AJ148" s="1288"/>
      <c r="AK148" s="1288"/>
    </row>
    <row s="4992" customFormat="1" customHeight="1" ht="17.25">
      <c r="A149" s="1881"/>
      <c r="C149" s="1886"/>
      <c r="D149" s="2354"/>
      <c r="E149" s="2386"/>
      <c r="F149" s="1996"/>
      <c r="G149" s="2360"/>
      <c r="H149" s="2354"/>
      <c r="I149" s="2354"/>
      <c r="J149" s="2390"/>
      <c r="K149" s="1986"/>
      <c r="L149" s="310"/>
      <c r="M149" s="311"/>
      <c r="N149" s="311" t="s">
        <v>169</v>
      </c>
      <c r="O149" s="311"/>
      <c r="P149" s="311"/>
      <c r="Q149" s="311"/>
      <c r="R149" s="311"/>
      <c r="S149" s="1887"/>
      <c r="T149" s="1887"/>
      <c r="U149" s="1887"/>
      <c r="V149" s="1887"/>
      <c r="W149" s="312"/>
      <c r="Y149" s="1288"/>
      <c r="Z149" s="1288"/>
      <c r="AA149" s="1288"/>
      <c r="AB149" s="1288"/>
      <c r="AC149" s="1288"/>
      <c r="AD149" s="1288"/>
      <c r="AE149" s="1288"/>
      <c r="AF149" s="1288"/>
      <c r="AG149" s="1288"/>
      <c r="AH149" s="1288"/>
      <c r="AI149" s="1288"/>
      <c r="AJ149" s="1288"/>
      <c r="AK149" s="1288"/>
    </row>
    <row s="4992" customFormat="1" customHeight="1" ht="17.25">
      <c r="A150" s="1881"/>
      <c r="C150" s="1886"/>
      <c r="D150" s="2354"/>
      <c r="E150" s="2386"/>
      <c r="F150" s="1997"/>
      <c r="G150" s="2360"/>
      <c r="H150" s="310"/>
      <c r="I150" s="311"/>
      <c r="J150" s="311" t="s">
        <v>170</v>
      </c>
      <c r="K150" s="311"/>
      <c r="L150" s="311"/>
      <c r="M150" s="311"/>
      <c r="N150" s="311"/>
      <c r="O150" s="311"/>
      <c r="P150" s="311"/>
      <c r="Q150" s="311"/>
      <c r="R150" s="311"/>
      <c r="S150" s="1887"/>
      <c r="T150" s="1887"/>
      <c r="U150" s="1887"/>
      <c r="V150" s="1887"/>
      <c r="W150" s="312"/>
      <c r="Y150" s="1288"/>
      <c r="Z150" s="1288"/>
      <c r="AA150" s="1288"/>
      <c r="AB150" s="1288"/>
      <c r="AC150" s="1288"/>
      <c r="AD150" s="1288"/>
      <c r="AE150" s="1288"/>
      <c r="AF150" s="1288"/>
      <c r="AG150" s="1288"/>
      <c r="AH150" s="1288"/>
      <c r="AI150" s="1288"/>
      <c r="AJ150" s="1288"/>
      <c r="AK150" s="1288"/>
    </row>
    <row customHeight="1" ht="17.25">
      <c r="G151" s="1880"/>
      <c r="H151" s="1880"/>
      <c r="I151" s="1880"/>
      <c r="M151" s="1876"/>
    </row>
    <row s="4992" customFormat="1" customHeight="1" ht="17.25">
      <c r="A152" s="1881"/>
      <c r="C152" s="1883"/>
      <c r="D152" s="1871"/>
      <c r="E152" s="1888"/>
      <c r="F152" s="1825"/>
      <c r="G152" s="1889"/>
      <c r="H152" s="2353"/>
      <c r="I152" s="2353">
        <v>1</v>
      </c>
      <c r="J152" s="2389"/>
      <c r="K152" s="2044" t="s">
        <v>61</v>
      </c>
      <c r="L152" s="1982"/>
      <c r="M152" s="1982" t="s">
        <v>108</v>
      </c>
      <c r="N152" s="2387" t="str">
        <f>IF(Z152="","",INDEX(TERRITORY_MR_LIST,MATCH(Z152,TERRITORY_LIST_ID,0)))</f>
        <v/>
      </c>
      <c r="O152" s="2044" t="s">
        <v>61</v>
      </c>
      <c r="P152" s="1982"/>
      <c r="Q152" s="1982" t="s">
        <v>108</v>
      </c>
      <c r="R152" s="2358" t="s">
        <v>24</v>
      </c>
      <c r="S152" s="1981" t="s">
        <v>61</v>
      </c>
      <c r="T152" s="1852"/>
      <c r="U152" s="1852" t="s">
        <v>108</v>
      </c>
      <c r="V152" s="1884" t="s">
        <v>24</v>
      </c>
      <c r="W152" s="1842"/>
      <c r="Y152" s="1296"/>
      <c r="Z152" s="1296"/>
      <c r="AA152" s="1296"/>
      <c r="AB152" s="1296"/>
      <c r="AC152" s="1296"/>
      <c r="AD152" s="1296"/>
      <c r="AE152" s="1296"/>
      <c r="AF152" s="1296"/>
      <c r="AG152" s="1296"/>
      <c r="AH152" s="1296"/>
      <c r="AI152" s="1296"/>
      <c r="AJ152" s="1296"/>
      <c r="AK152" s="1296"/>
      <c r="AL152" s="1885"/>
      <c r="AM152" s="1885"/>
      <c r="AN152" s="1296"/>
      <c r="AO152" s="1296"/>
      <c r="AP152" s="1296"/>
      <c r="AQ152" s="1296"/>
    </row>
    <row s="4992" customFormat="1" customHeight="1" ht="17.25">
      <c r="A153" s="1881"/>
      <c r="C153" s="1886"/>
      <c r="D153" s="1871"/>
      <c r="E153" s="1888"/>
      <c r="F153" s="1825"/>
      <c r="G153" s="1889"/>
      <c r="H153" s="2353"/>
      <c r="I153" s="2353"/>
      <c r="J153" s="2389"/>
      <c r="K153" s="2045"/>
      <c r="L153" s="1982"/>
      <c r="M153" s="1982"/>
      <c r="N153" s="2387"/>
      <c r="O153" s="2045"/>
      <c r="P153" s="1982"/>
      <c r="Q153" s="1982"/>
      <c r="R153" s="2358"/>
      <c r="S153" s="1981"/>
      <c r="T153" s="310"/>
      <c r="U153" s="311"/>
      <c r="V153" s="311" t="s">
        <v>167</v>
      </c>
      <c r="W153" s="312"/>
      <c r="Y153" s="1288"/>
      <c r="Z153" s="1288"/>
      <c r="AA153" s="1288"/>
      <c r="AB153" s="1288"/>
      <c r="AC153" s="1288"/>
      <c r="AD153" s="1288"/>
      <c r="AE153" s="1288"/>
      <c r="AF153" s="1288"/>
      <c r="AG153" s="1288"/>
      <c r="AH153" s="1288"/>
      <c r="AI153" s="1288"/>
      <c r="AJ153" s="1288"/>
      <c r="AK153" s="1288"/>
    </row>
    <row s="4992" customFormat="1" customHeight="1" ht="17.25">
      <c r="A154" s="1881"/>
      <c r="C154" s="1886"/>
      <c r="D154" s="1871"/>
      <c r="E154" s="1888"/>
      <c r="F154" s="1825"/>
      <c r="G154" s="1889"/>
      <c r="H154" s="2354"/>
      <c r="I154" s="2354"/>
      <c r="J154" s="2390"/>
      <c r="K154" s="2045"/>
      <c r="L154" s="2354"/>
      <c r="M154" s="2354"/>
      <c r="N154" s="2388"/>
      <c r="O154" s="1986"/>
      <c r="P154" s="310"/>
      <c r="Q154" s="311"/>
      <c r="R154" s="311" t="s">
        <v>168</v>
      </c>
      <c r="S154" s="1887"/>
      <c r="T154" s="1887"/>
      <c r="U154" s="1887"/>
      <c r="V154" s="1887"/>
      <c r="W154" s="312"/>
      <c r="Y154" s="1288"/>
      <c r="Z154" s="1288"/>
      <c r="AA154" s="1288"/>
      <c r="AB154" s="1288"/>
      <c r="AC154" s="1288"/>
      <c r="AD154" s="1288"/>
      <c r="AE154" s="1288"/>
      <c r="AF154" s="1288"/>
      <c r="AG154" s="1288"/>
      <c r="AH154" s="1288"/>
      <c r="AI154" s="1288"/>
      <c r="AJ154" s="1288"/>
      <c r="AK154" s="1288"/>
    </row>
    <row s="4992" customFormat="1" customHeight="1" ht="17.25">
      <c r="A155" s="1881"/>
      <c r="C155" s="1886"/>
      <c r="D155" s="1871"/>
      <c r="E155" s="1888"/>
      <c r="F155" s="1825"/>
      <c r="G155" s="1889"/>
      <c r="H155" s="2354"/>
      <c r="I155" s="2354"/>
      <c r="J155" s="2390"/>
      <c r="K155" s="1986"/>
      <c r="L155" s="310"/>
      <c r="M155" s="311"/>
      <c r="N155" s="311" t="s">
        <v>169</v>
      </c>
      <c r="O155" s="311"/>
      <c r="P155" s="311"/>
      <c r="Q155" s="311"/>
      <c r="R155" s="311"/>
      <c r="S155" s="1887"/>
      <c r="T155" s="1887"/>
      <c r="U155" s="1887"/>
      <c r="V155" s="1887"/>
      <c r="W155" s="312"/>
      <c r="Y155" s="1288"/>
      <c r="Z155" s="1288"/>
      <c r="AA155" s="1288"/>
      <c r="AB155" s="1288"/>
      <c r="AC155" s="1288"/>
      <c r="AD155" s="1288"/>
      <c r="AE155" s="1288"/>
      <c r="AF155" s="1288"/>
      <c r="AG155" s="1288"/>
      <c r="AH155" s="1288"/>
      <c r="AI155" s="1288"/>
      <c r="AJ155" s="1288"/>
      <c r="AK155" s="1288"/>
    </row>
    <row customHeight="1" ht="17.25">
      <c r="G156" s="1880"/>
      <c r="H156" s="1880"/>
      <c r="I156" s="1880"/>
      <c r="M156" s="1876"/>
    </row>
    <row s="4992" customFormat="1" customHeight="1" ht="17.25">
      <c r="A157" s="1881"/>
      <c r="C157" s="1883"/>
      <c r="D157" s="1871"/>
      <c r="E157" s="1888"/>
      <c r="F157" s="1825"/>
      <c r="G157" s="1889"/>
      <c r="H157" s="1871"/>
      <c r="I157" s="1871"/>
      <c r="J157" s="1890"/>
      <c r="K157" s="1800"/>
      <c r="L157" s="1982"/>
      <c r="M157" s="1982" t="s">
        <v>108</v>
      </c>
      <c r="N157" s="2387" t="str">
        <f>IF(Z157="","",INDEX(TERRITORY_MR_LIST,MATCH(Z157,TERRITORY_LIST_ID,0)))</f>
        <v/>
      </c>
      <c r="O157" s="2044" t="s">
        <v>61</v>
      </c>
      <c r="P157" s="1982"/>
      <c r="Q157" s="1982" t="s">
        <v>108</v>
      </c>
      <c r="R157" s="2358" t="s">
        <v>24</v>
      </c>
      <c r="S157" s="1981" t="s">
        <v>61</v>
      </c>
      <c r="T157" s="1852"/>
      <c r="U157" s="1852" t="s">
        <v>108</v>
      </c>
      <c r="V157" s="1884" t="s">
        <v>24</v>
      </c>
      <c r="W157" s="1842"/>
      <c r="Y157" s="1296"/>
      <c r="Z157" s="1296"/>
      <c r="AA157" s="1296"/>
      <c r="AB157" s="1296"/>
      <c r="AC157" s="1296"/>
      <c r="AD157" s="1296"/>
      <c r="AE157" s="1296"/>
      <c r="AF157" s="1296"/>
      <c r="AG157" s="1296"/>
      <c r="AH157" s="1296"/>
      <c r="AI157" s="1296"/>
      <c r="AJ157" s="1296"/>
      <c r="AK157" s="1296"/>
      <c r="AL157" s="1885"/>
      <c r="AM157" s="1885"/>
      <c r="AN157" s="1296"/>
      <c r="AO157" s="1296"/>
      <c r="AP157" s="1296"/>
      <c r="AQ157" s="1296"/>
    </row>
    <row s="4992" customFormat="1" customHeight="1" ht="17.25">
      <c r="A158" s="1881"/>
      <c r="C158" s="1886"/>
      <c r="D158" s="1871"/>
      <c r="E158" s="1888"/>
      <c r="F158" s="1825"/>
      <c r="G158" s="1889"/>
      <c r="H158" s="1871"/>
      <c r="I158" s="1871"/>
      <c r="J158" s="1890"/>
      <c r="K158" s="1800"/>
      <c r="L158" s="1982"/>
      <c r="M158" s="1982"/>
      <c r="N158" s="2387"/>
      <c r="O158" s="2045"/>
      <c r="P158" s="1982"/>
      <c r="Q158" s="1982"/>
      <c r="R158" s="2358"/>
      <c r="S158" s="1981"/>
      <c r="T158" s="310"/>
      <c r="U158" s="311"/>
      <c r="V158" s="311" t="s">
        <v>167</v>
      </c>
      <c r="W158" s="312"/>
      <c r="Y158" s="1288"/>
      <c r="Z158" s="1288"/>
      <c r="AA158" s="1288"/>
      <c r="AB158" s="1288"/>
      <c r="AC158" s="1288"/>
      <c r="AD158" s="1288"/>
      <c r="AE158" s="1288"/>
      <c r="AF158" s="1288"/>
      <c r="AG158" s="1288"/>
      <c r="AH158" s="1288"/>
      <c r="AI158" s="1288"/>
      <c r="AJ158" s="1288"/>
      <c r="AK158" s="1288"/>
    </row>
    <row s="4992" customFormat="1" customHeight="1" ht="17.25">
      <c r="A159" s="1881"/>
      <c r="C159" s="1886"/>
      <c r="D159" s="1871"/>
      <c r="E159" s="1888"/>
      <c r="F159" s="1825"/>
      <c r="G159" s="1889"/>
      <c r="H159" s="1871"/>
      <c r="I159" s="1871"/>
      <c r="J159" s="1890"/>
      <c r="K159" s="1800"/>
      <c r="L159" s="2354"/>
      <c r="M159" s="2354"/>
      <c r="N159" s="2388"/>
      <c r="O159" s="1986"/>
      <c r="P159" s="310"/>
      <c r="Q159" s="311"/>
      <c r="R159" s="311" t="s">
        <v>168</v>
      </c>
      <c r="S159" s="1887"/>
      <c r="T159" s="1887"/>
      <c r="U159" s="1887"/>
      <c r="V159" s="1887"/>
      <c r="W159" s="312"/>
      <c r="Y159" s="1288"/>
      <c r="Z159" s="1288"/>
      <c r="AA159" s="1288"/>
      <c r="AB159" s="1288"/>
      <c r="AC159" s="1288"/>
      <c r="AD159" s="1288"/>
      <c r="AE159" s="1288"/>
      <c r="AF159" s="1288"/>
      <c r="AG159" s="1288"/>
      <c r="AH159" s="1288"/>
      <c r="AI159" s="1288"/>
      <c r="AJ159" s="1288"/>
      <c r="AK159" s="1288"/>
    </row>
    <row customHeight="1" ht="17.25">
      <c r="G160" s="1880"/>
      <c r="H160" s="1880"/>
      <c r="I160" s="1880"/>
      <c r="M160" s="1876"/>
    </row>
    <row s="4992" customFormat="1" customHeight="1" ht="17.25">
      <c r="A161" s="1881"/>
      <c r="C161" s="1883"/>
      <c r="D161" s="1871"/>
      <c r="E161" s="1888"/>
      <c r="F161" s="1825"/>
      <c r="G161" s="1889"/>
      <c r="H161" s="1871"/>
      <c r="I161" s="1871"/>
      <c r="J161" s="1890"/>
      <c r="K161" s="1800"/>
      <c r="L161" s="1796"/>
      <c r="M161" s="1796"/>
      <c r="N161" s="1891"/>
      <c r="O161" s="1828"/>
      <c r="P161" s="1982"/>
      <c r="Q161" s="1982" t="s">
        <v>108</v>
      </c>
      <c r="R161" s="2358" t="s">
        <v>24</v>
      </c>
      <c r="S161" s="1981" t="s">
        <v>61</v>
      </c>
      <c r="T161" s="1852"/>
      <c r="U161" s="1852" t="s">
        <v>108</v>
      </c>
      <c r="V161" s="1884" t="s">
        <v>24</v>
      </c>
      <c r="W161" s="1842"/>
      <c r="Y161" s="1296"/>
      <c r="Z161" s="1296"/>
      <c r="AA161" s="1296"/>
      <c r="AB161" s="1296"/>
      <c r="AC161" s="1296"/>
      <c r="AD161" s="1296"/>
      <c r="AE161" s="1296"/>
      <c r="AF161" s="1296"/>
      <c r="AG161" s="1296"/>
      <c r="AH161" s="1296"/>
      <c r="AI161" s="1296"/>
      <c r="AJ161" s="1296"/>
      <c r="AK161" s="1296"/>
      <c r="AL161" s="1885"/>
      <c r="AM161" s="1885"/>
      <c r="AN161" s="1296"/>
      <c r="AO161" s="1296"/>
      <c r="AP161" s="1296"/>
      <c r="AQ161" s="1296"/>
    </row>
    <row s="4992" customFormat="1" customHeight="1" ht="17.25">
      <c r="A162" s="1881"/>
      <c r="C162" s="1886"/>
      <c r="D162" s="1871"/>
      <c r="E162" s="1888"/>
      <c r="F162" s="1825"/>
      <c r="G162" s="1889"/>
      <c r="H162" s="1871"/>
      <c r="I162" s="1871"/>
      <c r="J162" s="1890"/>
      <c r="K162" s="1800"/>
      <c r="L162" s="1796"/>
      <c r="M162" s="1796"/>
      <c r="N162" s="1891"/>
      <c r="O162" s="1828"/>
      <c r="P162" s="1982"/>
      <c r="Q162" s="1982"/>
      <c r="R162" s="2358"/>
      <c r="S162" s="1981"/>
      <c r="T162" s="310"/>
      <c r="U162" s="311"/>
      <c r="V162" s="311" t="s">
        <v>167</v>
      </c>
      <c r="W162" s="312"/>
      <c r="Y162" s="1288"/>
      <c r="Z162" s="1288"/>
      <c r="AA162" s="1288"/>
      <c r="AB162" s="1288"/>
      <c r="AC162" s="1288"/>
      <c r="AD162" s="1288"/>
      <c r="AE162" s="1288"/>
      <c r="AF162" s="1288"/>
      <c r="AG162" s="1288"/>
      <c r="AH162" s="1288"/>
      <c r="AI162" s="1288"/>
      <c r="AJ162" s="1288"/>
      <c r="AK162" s="1288"/>
    </row>
    <row customHeight="1" ht="17.25">
      <c r="G163" s="1880"/>
      <c r="H163" s="1880"/>
      <c r="I163" s="1880"/>
      <c r="M163" s="1876"/>
    </row>
    <row s="4992" customFormat="1" customHeight="1" ht="17.25">
      <c r="A164" s="1881"/>
      <c r="C164" s="1883"/>
      <c r="D164" s="1871"/>
      <c r="E164" s="1888"/>
      <c r="F164" s="1825"/>
      <c r="G164" s="1889"/>
      <c r="H164" s="1796"/>
      <c r="I164" s="1796"/>
      <c r="J164" s="1797"/>
      <c r="K164" s="1889"/>
      <c r="L164" s="1796"/>
      <c r="M164" s="1796"/>
      <c r="N164" s="1889"/>
      <c r="O164" s="1889"/>
      <c r="P164" s="1796"/>
      <c r="Q164" s="1796"/>
      <c r="R164" s="1798"/>
      <c r="S164" s="1889"/>
      <c r="T164" s="1852"/>
      <c r="U164" s="1852" t="s">
        <v>108</v>
      </c>
      <c r="V164" s="1884" t="s">
        <v>24</v>
      </c>
      <c r="W164" s="1842"/>
      <c r="Y164" s="1296"/>
      <c r="Z164" s="1296"/>
      <c r="AA164" s="1296"/>
      <c r="AB164" s="1296"/>
      <c r="AC164" s="1296"/>
      <c r="AD164" s="1296"/>
      <c r="AE164" s="1296"/>
      <c r="AF164" s="1296"/>
      <c r="AG164" s="1296"/>
      <c r="AH164" s="1296"/>
      <c r="AI164" s="1296"/>
      <c r="AJ164" s="1296"/>
      <c r="AK164" s="1296"/>
      <c r="AL164" s="1885"/>
      <c r="AM164" s="1885"/>
      <c r="AN164" s="1296"/>
      <c r="AO164" s="1296"/>
      <c r="AP164" s="1296"/>
      <c r="AQ164" s="1296"/>
    </row>
    <row r="166" s="4798" customFormat="1" customHeight="1" ht="17.25">
      <c r="A166" s="1856" t="s">
        <v>1170</v>
      </c>
    </row>
    <row customHeight="1" ht="17.25">
      <c r="G167" s="1880"/>
      <c r="H167" s="1880"/>
      <c r="I167" s="1880"/>
      <c r="M167" s="1876"/>
    </row>
    <row s="4992" customFormat="1" customHeight="1" ht="17.25">
      <c r="A168" s="1881"/>
      <c r="C168" s="1883"/>
      <c r="D168" s="2353"/>
      <c r="E168" s="1993"/>
      <c r="F168" s="1995"/>
      <c r="G168" s="2359"/>
      <c r="H168" s="2353"/>
      <c r="I168" s="2353">
        <v>1</v>
      </c>
      <c r="J168" s="2389"/>
      <c r="K168" s="2044" t="s">
        <v>61</v>
      </c>
      <c r="L168" s="1982"/>
      <c r="M168" s="1982" t="s">
        <v>108</v>
      </c>
      <c r="N168" s="2387" t="str">
        <f>IF(Z168="","",INDEX(TERRITORY_MR_LIST,MATCH(Z168,TERRITORY_LIST_ID,0)))</f>
        <v/>
      </c>
      <c r="O168" s="2044" t="s">
        <v>61</v>
      </c>
      <c r="P168" s="1982"/>
      <c r="Q168" s="1982" t="s">
        <v>108</v>
      </c>
      <c r="R168" s="2358" t="s">
        <v>24</v>
      </c>
      <c r="S168" s="2240" t="s">
        <v>56</v>
      </c>
      <c r="T168" s="1843"/>
      <c r="U168" s="1843" t="s">
        <v>108</v>
      </c>
      <c r="V168" s="1464"/>
      <c r="W168" s="2389"/>
      <c r="Y168" s="1296"/>
      <c r="Z168" s="1296"/>
      <c r="AA168" s="1296"/>
      <c r="AB168" s="1296"/>
      <c r="AC168" s="1296"/>
      <c r="AD168" s="1296"/>
      <c r="AE168" s="1296"/>
      <c r="AF168" s="1296"/>
      <c r="AG168" s="1296"/>
      <c r="AH168" s="1296"/>
      <c r="AI168" s="1296"/>
      <c r="AJ168" s="1296"/>
      <c r="AK168" s="1296"/>
      <c r="AL168" s="1885"/>
      <c r="AM168" s="1885"/>
      <c r="AN168" s="1296"/>
      <c r="AO168" s="1296"/>
      <c r="AP168" s="1296"/>
      <c r="AQ168" s="1296"/>
    </row>
    <row s="4992" customFormat="1" customHeight="1" ht="17.25">
      <c r="A169" s="1881"/>
      <c r="C169" s="1886"/>
      <c r="D169" s="2353"/>
      <c r="E169" s="1993"/>
      <c r="F169" s="1996"/>
      <c r="G169" s="2359"/>
      <c r="H169" s="2353"/>
      <c r="I169" s="2353"/>
      <c r="J169" s="2389"/>
      <c r="K169" s="2045"/>
      <c r="L169" s="1982"/>
      <c r="M169" s="1982"/>
      <c r="N169" s="2387"/>
      <c r="O169" s="2045"/>
      <c r="P169" s="1982"/>
      <c r="Q169" s="1982"/>
      <c r="R169" s="2358"/>
      <c r="S169" s="2240"/>
      <c r="T169" s="1465"/>
      <c r="U169" s="1466"/>
      <c r="V169" s="1466"/>
      <c r="W169" s="2389"/>
      <c r="Y169" s="1288"/>
      <c r="Z169" s="1288"/>
      <c r="AA169" s="1288"/>
      <c r="AB169" s="1288"/>
      <c r="AC169" s="1288"/>
      <c r="AD169" s="1288"/>
      <c r="AE169" s="1288"/>
      <c r="AF169" s="1288"/>
      <c r="AG169" s="1288"/>
      <c r="AH169" s="1288"/>
      <c r="AI169" s="1288"/>
      <c r="AJ169" s="1288"/>
      <c r="AK169" s="1288"/>
    </row>
    <row s="4992" customFormat="1" customHeight="1" ht="17.25">
      <c r="A170" s="1881"/>
      <c r="C170" s="1886"/>
      <c r="D170" s="2354"/>
      <c r="E170" s="2386"/>
      <c r="F170" s="1996"/>
      <c r="G170" s="2360"/>
      <c r="H170" s="2354"/>
      <c r="I170" s="2354"/>
      <c r="J170" s="2390"/>
      <c r="K170" s="2045"/>
      <c r="L170" s="2354"/>
      <c r="M170" s="2354"/>
      <c r="N170" s="2388"/>
      <c r="O170" s="1986"/>
      <c r="P170" s="310"/>
      <c r="Q170" s="311"/>
      <c r="R170" s="311" t="s">
        <v>168</v>
      </c>
      <c r="S170" s="1887"/>
      <c r="T170" s="1887"/>
      <c r="U170" s="1887"/>
      <c r="V170" s="1887"/>
      <c r="W170" s="1463"/>
      <c r="Y170" s="1288"/>
      <c r="Z170" s="1288"/>
      <c r="AA170" s="1288"/>
      <c r="AB170" s="1288"/>
      <c r="AC170" s="1288"/>
      <c r="AD170" s="1288"/>
      <c r="AE170" s="1288"/>
      <c r="AF170" s="1288"/>
      <c r="AG170" s="1288"/>
      <c r="AH170" s="1288"/>
      <c r="AI170" s="1288"/>
      <c r="AJ170" s="1288"/>
      <c r="AK170" s="1288"/>
    </row>
    <row s="4992" customFormat="1" customHeight="1" ht="17.25">
      <c r="A171" s="1881"/>
      <c r="C171" s="1886"/>
      <c r="D171" s="2354"/>
      <c r="E171" s="2386"/>
      <c r="F171" s="1996"/>
      <c r="G171" s="2360"/>
      <c r="H171" s="2354"/>
      <c r="I171" s="2354"/>
      <c r="J171" s="2390"/>
      <c r="K171" s="1986"/>
      <c r="L171" s="310"/>
      <c r="M171" s="311"/>
      <c r="N171" s="311" t="s">
        <v>169</v>
      </c>
      <c r="O171" s="311"/>
      <c r="P171" s="311"/>
      <c r="Q171" s="311"/>
      <c r="R171" s="311"/>
      <c r="S171" s="1887"/>
      <c r="T171" s="1887"/>
      <c r="U171" s="1887"/>
      <c r="V171" s="1887"/>
      <c r="W171" s="312"/>
      <c r="Y171" s="1288"/>
      <c r="Z171" s="1288"/>
      <c r="AA171" s="1288"/>
      <c r="AB171" s="1288"/>
      <c r="AC171" s="1288"/>
      <c r="AD171" s="1288"/>
      <c r="AE171" s="1288"/>
      <c r="AF171" s="1288"/>
      <c r="AG171" s="1288"/>
      <c r="AH171" s="1288"/>
      <c r="AI171" s="1288"/>
      <c r="AJ171" s="1288"/>
      <c r="AK171" s="1288"/>
    </row>
    <row s="4992" customFormat="1" customHeight="1" ht="17.25">
      <c r="A172" s="1881"/>
      <c r="C172" s="1886"/>
      <c r="D172" s="2354"/>
      <c r="E172" s="2386"/>
      <c r="F172" s="1997"/>
      <c r="G172" s="2360"/>
      <c r="H172" s="310"/>
      <c r="I172" s="311"/>
      <c r="J172" s="311" t="s">
        <v>170</v>
      </c>
      <c r="K172" s="311"/>
      <c r="L172" s="311"/>
      <c r="M172" s="311"/>
      <c r="N172" s="311"/>
      <c r="O172" s="311"/>
      <c r="P172" s="311"/>
      <c r="Q172" s="311"/>
      <c r="R172" s="311"/>
      <c r="S172" s="1887"/>
      <c r="T172" s="1887"/>
      <c r="U172" s="1887"/>
      <c r="V172" s="1887"/>
      <c r="W172" s="312"/>
      <c r="Y172" s="1288"/>
      <c r="Z172" s="1288"/>
      <c r="AA172" s="1288"/>
      <c r="AB172" s="1288"/>
      <c r="AC172" s="1288"/>
      <c r="AD172" s="1288"/>
      <c r="AE172" s="1288"/>
      <c r="AF172" s="1288"/>
      <c r="AG172" s="1288"/>
      <c r="AH172" s="1288"/>
      <c r="AI172" s="1288"/>
      <c r="AJ172" s="1288"/>
      <c r="AK172" s="1288"/>
    </row>
    <row customHeight="1" ht="17.25">
      <c r="A173" s="1892"/>
    </row>
    <row s="4992" customFormat="1" customHeight="1" ht="17.25">
      <c r="A174" s="1881"/>
      <c r="C174" s="1883"/>
      <c r="D174" s="1871"/>
      <c r="E174" s="1888"/>
      <c r="F174" s="1825"/>
      <c r="G174" s="1889"/>
      <c r="H174" s="2353"/>
      <c r="I174" s="2353">
        <v>1</v>
      </c>
      <c r="J174" s="2389"/>
      <c r="K174" s="2044" t="s">
        <v>61</v>
      </c>
      <c r="L174" s="1982"/>
      <c r="M174" s="1982" t="s">
        <v>108</v>
      </c>
      <c r="N174" s="2387" t="str">
        <f>IF(Z174="","",INDEX(TERRITORY_MR_LIST,MATCH(Z174,TERRITORY_LIST_ID,0)))</f>
        <v/>
      </c>
      <c r="O174" s="2044" t="s">
        <v>61</v>
      </c>
      <c r="P174" s="1982"/>
      <c r="Q174" s="1982" t="s">
        <v>108</v>
      </c>
      <c r="R174" s="2358" t="s">
        <v>24</v>
      </c>
      <c r="S174" s="2240" t="s">
        <v>56</v>
      </c>
      <c r="T174" s="1843"/>
      <c r="U174" s="1843" t="s">
        <v>108</v>
      </c>
      <c r="V174" s="1464"/>
      <c r="W174" s="2389"/>
      <c r="Y174" s="1296"/>
      <c r="Z174" s="1296"/>
      <c r="AA174" s="1296"/>
      <c r="AB174" s="1296"/>
      <c r="AC174" s="1296"/>
      <c r="AD174" s="1296"/>
      <c r="AE174" s="1296"/>
      <c r="AF174" s="1296"/>
      <c r="AG174" s="1296"/>
      <c r="AH174" s="1296"/>
      <c r="AI174" s="1296"/>
      <c r="AJ174" s="1296"/>
      <c r="AK174" s="1296"/>
      <c r="AL174" s="1885"/>
      <c r="AM174" s="1885"/>
      <c r="AN174" s="1296"/>
      <c r="AO174" s="1296"/>
      <c r="AP174" s="1296"/>
      <c r="AQ174" s="1296"/>
    </row>
    <row s="4992" customFormat="1" customHeight="1" ht="17.25">
      <c r="A175" s="1881"/>
      <c r="C175" s="1886"/>
      <c r="D175" s="1871"/>
      <c r="E175" s="1888"/>
      <c r="F175" s="1825"/>
      <c r="G175" s="1889"/>
      <c r="H175" s="2353"/>
      <c r="I175" s="2353"/>
      <c r="J175" s="2389"/>
      <c r="K175" s="2045"/>
      <c r="L175" s="1982"/>
      <c r="M175" s="1982"/>
      <c r="N175" s="2387"/>
      <c r="O175" s="2045"/>
      <c r="P175" s="1982"/>
      <c r="Q175" s="1982"/>
      <c r="R175" s="2358"/>
      <c r="S175" s="2240"/>
      <c r="T175" s="1465"/>
      <c r="U175" s="1466"/>
      <c r="V175" s="1466"/>
      <c r="W175" s="2389"/>
      <c r="Y175" s="1288"/>
      <c r="Z175" s="1288"/>
      <c r="AA175" s="1288"/>
      <c r="AB175" s="1288"/>
      <c r="AC175" s="1288"/>
      <c r="AD175" s="1288"/>
      <c r="AE175" s="1288"/>
      <c r="AF175" s="1288"/>
      <c r="AG175" s="1288"/>
      <c r="AH175" s="1288"/>
      <c r="AI175" s="1288"/>
      <c r="AJ175" s="1288"/>
      <c r="AK175" s="1288"/>
    </row>
    <row s="4992" customFormat="1" customHeight="1" ht="17.25">
      <c r="A176" s="1881"/>
      <c r="C176" s="1886"/>
      <c r="D176" s="1871"/>
      <c r="E176" s="1888"/>
      <c r="F176" s="1825"/>
      <c r="G176" s="1889"/>
      <c r="H176" s="2354"/>
      <c r="I176" s="2354"/>
      <c r="J176" s="2390"/>
      <c r="K176" s="2045"/>
      <c r="L176" s="2354"/>
      <c r="M176" s="2354"/>
      <c r="N176" s="2388"/>
      <c r="O176" s="1986"/>
      <c r="P176" s="310"/>
      <c r="Q176" s="311"/>
      <c r="R176" s="311" t="s">
        <v>168</v>
      </c>
      <c r="S176" s="1887"/>
      <c r="T176" s="1887"/>
      <c r="U176" s="1887"/>
      <c r="V176" s="1887"/>
      <c r="W176" s="1463"/>
      <c r="Y176" s="1288"/>
      <c r="Z176" s="1288"/>
      <c r="AA176" s="1288"/>
      <c r="AB176" s="1288"/>
      <c r="AC176" s="1288"/>
      <c r="AD176" s="1288"/>
      <c r="AE176" s="1288"/>
      <c r="AF176" s="1288"/>
      <c r="AG176" s="1288"/>
      <c r="AH176" s="1288"/>
      <c r="AI176" s="1288"/>
      <c r="AJ176" s="1288"/>
      <c r="AK176" s="1288"/>
    </row>
    <row s="4992" customFormat="1" customHeight="1" ht="17.25">
      <c r="A177" s="1881"/>
      <c r="C177" s="1886"/>
      <c r="D177" s="1871"/>
      <c r="E177" s="1888"/>
      <c r="F177" s="1825"/>
      <c r="G177" s="1889"/>
      <c r="H177" s="2354"/>
      <c r="I177" s="2354"/>
      <c r="J177" s="2390"/>
      <c r="K177" s="1986"/>
      <c r="L177" s="310"/>
      <c r="M177" s="311"/>
      <c r="N177" s="311" t="s">
        <v>169</v>
      </c>
      <c r="O177" s="311"/>
      <c r="P177" s="311"/>
      <c r="Q177" s="311"/>
      <c r="R177" s="311"/>
      <c r="S177" s="1887"/>
      <c r="T177" s="1887"/>
      <c r="U177" s="1887"/>
      <c r="V177" s="1887"/>
      <c r="W177" s="312"/>
      <c r="Y177" s="1288"/>
      <c r="Z177" s="1288"/>
      <c r="AA177" s="1288"/>
      <c r="AB177" s="1288"/>
      <c r="AC177" s="1288"/>
      <c r="AD177" s="1288"/>
      <c r="AE177" s="1288"/>
      <c r="AF177" s="1288"/>
      <c r="AG177" s="1288"/>
      <c r="AH177" s="1288"/>
      <c r="AI177" s="1288"/>
      <c r="AJ177" s="1288"/>
      <c r="AK177" s="1288"/>
    </row>
    <row customHeight="1" ht="17.25">
      <c r="A178" s="1892"/>
    </row>
    <row s="4992" customFormat="1" customHeight="1" ht="17.25">
      <c r="A179" s="1881"/>
      <c r="C179" s="1883"/>
      <c r="D179" s="1871"/>
      <c r="E179" s="1888"/>
      <c r="F179" s="1825"/>
      <c r="G179" s="1889"/>
      <c r="H179" s="1871"/>
      <c r="I179" s="1871"/>
      <c r="J179" s="1893"/>
      <c r="K179" s="1889"/>
      <c r="L179" s="1982"/>
      <c r="M179" s="1982" t="s">
        <v>108</v>
      </c>
      <c r="N179" s="2387" t="str">
        <f>IF(Z179="","",INDEX(TERRITORY_MR_LIST,MATCH(Z179,TERRITORY_LIST_ID,0)))</f>
        <v/>
      </c>
      <c r="O179" s="2044" t="s">
        <v>61</v>
      </c>
      <c r="P179" s="1982"/>
      <c r="Q179" s="1982" t="s">
        <v>108</v>
      </c>
      <c r="R179" s="2358" t="s">
        <v>24</v>
      </c>
      <c r="S179" s="2240" t="s">
        <v>56</v>
      </c>
      <c r="T179" s="1843"/>
      <c r="U179" s="1843" t="s">
        <v>108</v>
      </c>
      <c r="V179" s="1464"/>
      <c r="W179" s="2389"/>
      <c r="Y179" s="1296"/>
      <c r="Z179" s="1296"/>
      <c r="AA179" s="1296"/>
      <c r="AB179" s="1296"/>
      <c r="AC179" s="1296"/>
      <c r="AD179" s="1296"/>
      <c r="AE179" s="1296"/>
      <c r="AF179" s="1296"/>
      <c r="AG179" s="1296"/>
      <c r="AH179" s="1296"/>
      <c r="AI179" s="1296"/>
      <c r="AJ179" s="1296"/>
      <c r="AK179" s="1296"/>
      <c r="AL179" s="1885"/>
      <c r="AM179" s="1885"/>
      <c r="AN179" s="1296"/>
      <c r="AO179" s="1296"/>
      <c r="AP179" s="1296"/>
      <c r="AQ179" s="1296"/>
    </row>
    <row s="4992" customFormat="1" customHeight="1" ht="17.25">
      <c r="A180" s="1881"/>
      <c r="C180" s="1886"/>
      <c r="D180" s="1871"/>
      <c r="E180" s="1888"/>
      <c r="F180" s="1825"/>
      <c r="G180" s="1889"/>
      <c r="H180" s="1871"/>
      <c r="I180" s="1871"/>
      <c r="J180" s="1893"/>
      <c r="K180" s="1889"/>
      <c r="L180" s="1982"/>
      <c r="M180" s="1982"/>
      <c r="N180" s="2387"/>
      <c r="O180" s="2045"/>
      <c r="P180" s="1982"/>
      <c r="Q180" s="1982"/>
      <c r="R180" s="2358"/>
      <c r="S180" s="2240"/>
      <c r="T180" s="1465"/>
      <c r="U180" s="1466"/>
      <c r="V180" s="1466"/>
      <c r="W180" s="2389"/>
      <c r="Y180" s="1288"/>
      <c r="Z180" s="1288"/>
      <c r="AA180" s="1288"/>
      <c r="AB180" s="1288"/>
      <c r="AC180" s="1288"/>
      <c r="AD180" s="1288"/>
      <c r="AE180" s="1288"/>
      <c r="AF180" s="1288"/>
      <c r="AG180" s="1288"/>
      <c r="AH180" s="1288"/>
      <c r="AI180" s="1288"/>
      <c r="AJ180" s="1288"/>
      <c r="AK180" s="1288"/>
    </row>
    <row s="4992" customFormat="1" customHeight="1" ht="17.25">
      <c r="A181" s="1881"/>
      <c r="C181" s="1886"/>
      <c r="D181" s="1871"/>
      <c r="E181" s="1888"/>
      <c r="F181" s="1825"/>
      <c r="G181" s="1889"/>
      <c r="H181" s="1871"/>
      <c r="I181" s="1871"/>
      <c r="J181" s="1893"/>
      <c r="K181" s="1889"/>
      <c r="L181" s="2354"/>
      <c r="M181" s="2354"/>
      <c r="N181" s="2388"/>
      <c r="O181" s="1986"/>
      <c r="P181" s="310"/>
      <c r="Q181" s="311"/>
      <c r="R181" s="311" t="s">
        <v>168</v>
      </c>
      <c r="S181" s="1887"/>
      <c r="T181" s="1887"/>
      <c r="U181" s="1887"/>
      <c r="V181" s="1887"/>
      <c r="W181" s="1463"/>
      <c r="Y181" s="1288"/>
      <c r="Z181" s="1288"/>
      <c r="AA181" s="1288"/>
      <c r="AB181" s="1288"/>
      <c r="AC181" s="1288"/>
      <c r="AD181" s="1288"/>
      <c r="AE181" s="1288"/>
      <c r="AF181" s="1288"/>
      <c r="AG181" s="1288"/>
      <c r="AH181" s="1288"/>
      <c r="AI181" s="1288"/>
      <c r="AJ181" s="1288"/>
      <c r="AK181" s="1288"/>
    </row>
    <row customHeight="1" ht="17.25">
      <c r="A182" s="1892"/>
    </row>
    <row s="4992" customFormat="1" customHeight="1" ht="17.25">
      <c r="A183" s="1881"/>
      <c r="C183" s="1883"/>
      <c r="D183" s="1871"/>
      <c r="E183" s="1888"/>
      <c r="F183" s="1825"/>
      <c r="G183" s="1889"/>
      <c r="H183" s="1871"/>
      <c r="I183" s="1871"/>
      <c r="J183" s="1893"/>
      <c r="K183" s="1889"/>
      <c r="L183" s="1871"/>
      <c r="M183" s="1871"/>
      <c r="N183" s="1891"/>
      <c r="O183" s="1828"/>
      <c r="P183" s="1982"/>
      <c r="Q183" s="1982" t="s">
        <v>108</v>
      </c>
      <c r="R183" s="2358" t="s">
        <v>24</v>
      </c>
      <c r="S183" s="2240" t="s">
        <v>56</v>
      </c>
      <c r="T183" s="1843"/>
      <c r="U183" s="1843" t="s">
        <v>108</v>
      </c>
      <c r="V183" s="1464"/>
      <c r="W183" s="2389"/>
      <c r="Y183" s="1296"/>
      <c r="Z183" s="1296"/>
      <c r="AA183" s="1296"/>
      <c r="AB183" s="1296"/>
      <c r="AC183" s="1296"/>
      <c r="AD183" s="1296"/>
      <c r="AE183" s="1296"/>
      <c r="AF183" s="1296"/>
      <c r="AG183" s="1296"/>
      <c r="AH183" s="1296"/>
      <c r="AI183" s="1296"/>
      <c r="AJ183" s="1296"/>
      <c r="AK183" s="1296"/>
      <c r="AL183" s="1885"/>
      <c r="AM183" s="1885"/>
      <c r="AN183" s="1296"/>
      <c r="AO183" s="1296"/>
      <c r="AP183" s="1296"/>
      <c r="AQ183" s="1296"/>
    </row>
    <row s="4992" customFormat="1" customHeight="1" ht="17.25">
      <c r="A184" s="1881"/>
      <c r="C184" s="1886"/>
      <c r="D184" s="1871"/>
      <c r="E184" s="1888"/>
      <c r="F184" s="1825"/>
      <c r="G184" s="1889"/>
      <c r="H184" s="1871"/>
      <c r="I184" s="1871"/>
      <c r="J184" s="1893"/>
      <c r="K184" s="1889"/>
      <c r="L184" s="1871"/>
      <c r="M184" s="1871"/>
      <c r="N184" s="1891"/>
      <c r="O184" s="1828"/>
      <c r="P184" s="1982"/>
      <c r="Q184" s="1982"/>
      <c r="R184" s="2358"/>
      <c r="S184" s="2240"/>
      <c r="T184" s="1465"/>
      <c r="U184" s="1466"/>
      <c r="V184" s="1466"/>
      <c r="W184" s="2389"/>
      <c r="Y184" s="1288"/>
      <c r="Z184" s="1288"/>
      <c r="AA184" s="1288"/>
      <c r="AB184" s="1288"/>
      <c r="AC184" s="1288"/>
      <c r="AD184" s="1288"/>
      <c r="AE184" s="1288"/>
      <c r="AF184" s="1288"/>
      <c r="AG184" s="1288"/>
      <c r="AH184" s="1288"/>
      <c r="AI184" s="1288"/>
      <c r="AJ184" s="1288"/>
      <c r="AK184" s="1288"/>
    </row>
    <row customHeight="1" ht="17.25">
      <c r="A185" s="1892"/>
    </row>
    <row customHeight="1" ht="16.5">
      <c r="A186" s="1881"/>
      <c r="B186" s="1882"/>
      <c r="C186" s="1886"/>
      <c r="D186" s="2379"/>
      <c r="E186" s="2041"/>
      <c r="F186" s="2041"/>
      <c r="G186" s="1971"/>
      <c r="H186" s="2380"/>
      <c r="I186" s="2392"/>
      <c r="J186" s="2002"/>
      <c r="K186" s="1989"/>
      <c r="L186" s="1989"/>
      <c r="M186" s="1989"/>
      <c r="N186" s="2383"/>
      <c r="O186" s="1989"/>
      <c r="P186" s="1989"/>
      <c r="Q186" s="1989"/>
      <c r="R186" s="2391"/>
      <c r="S186" s="1989"/>
      <c r="T186" s="1824"/>
      <c r="U186" s="1824"/>
      <c r="V186" s="1894"/>
      <c r="W186" s="1326"/>
    </row>
    <row customHeight="1" ht="16.5">
      <c r="A187" s="1881"/>
      <c r="B187" s="1882"/>
      <c r="C187" s="1886"/>
      <c r="D187" s="2379"/>
      <c r="E187" s="2041"/>
      <c r="F187" s="2041"/>
      <c r="G187" s="1971"/>
      <c r="H187" s="2381"/>
      <c r="I187" s="2393"/>
      <c r="J187" s="2003"/>
      <c r="K187" s="1990"/>
      <c r="L187" s="1990"/>
      <c r="M187" s="1990"/>
      <c r="N187" s="2384"/>
      <c r="O187" s="1990"/>
      <c r="P187" s="1990"/>
      <c r="Q187" s="1990"/>
      <c r="R187" s="2385"/>
      <c r="S187" s="1990"/>
      <c r="T187" s="1327"/>
      <c r="U187" s="1327"/>
      <c r="V187" s="1327"/>
      <c r="W187" s="1328"/>
    </row>
    <row customHeight="1" ht="17.25">
      <c r="A188" s="1881"/>
      <c r="B188" s="1882"/>
      <c r="C188" s="1886"/>
      <c r="D188" s="2379"/>
      <c r="E188" s="2041"/>
      <c r="F188" s="2041"/>
      <c r="G188" s="1971"/>
      <c r="H188" s="2381"/>
      <c r="I188" s="2393"/>
      <c r="J188" s="2382"/>
      <c r="K188" s="1990"/>
      <c r="L188" s="1990"/>
      <c r="M188" s="1990"/>
      <c r="N188" s="2385"/>
      <c r="O188" s="1990"/>
      <c r="P188" s="1827"/>
      <c r="Q188" s="1327"/>
      <c r="R188" s="1327"/>
      <c r="S188" s="1895"/>
      <c r="T188" s="1895"/>
      <c r="U188" s="1895"/>
      <c r="V188" s="1895"/>
      <c r="W188" s="1328"/>
    </row>
    <row customHeight="1" ht="17.25">
      <c r="A189" s="1881"/>
      <c r="B189" s="1882"/>
      <c r="C189" s="1886"/>
      <c r="D189" s="2379"/>
      <c r="E189" s="2041"/>
      <c r="F189" s="2041"/>
      <c r="G189" s="1971"/>
      <c r="H189" s="2381"/>
      <c r="I189" s="2393"/>
      <c r="J189" s="2382"/>
      <c r="K189" s="1990"/>
      <c r="L189" s="1327"/>
      <c r="M189" s="1327"/>
      <c r="N189" s="1327"/>
      <c r="O189" s="1327"/>
      <c r="P189" s="1327"/>
      <c r="Q189" s="1327"/>
      <c r="R189" s="1327"/>
      <c r="S189" s="1895"/>
      <c r="T189" s="1895"/>
      <c r="U189" s="1895"/>
      <c r="V189" s="1895"/>
      <c r="W189" s="1328"/>
    </row>
    <row customHeight="1" ht="17.25">
      <c r="A190" s="1881"/>
      <c r="B190" s="1882"/>
      <c r="C190" s="1886"/>
      <c r="D190" s="2379"/>
      <c r="E190" s="2041"/>
      <c r="F190" s="2041"/>
      <c r="G190" s="1971"/>
      <c r="H190" s="1329"/>
      <c r="I190" s="1330"/>
      <c r="J190" s="1330"/>
      <c r="K190" s="1330"/>
      <c r="L190" s="1330"/>
      <c r="M190" s="1330"/>
      <c r="N190" s="1330"/>
      <c r="O190" s="1330"/>
      <c r="P190" s="1330"/>
      <c r="Q190" s="1330"/>
      <c r="R190" s="1330"/>
      <c r="S190" s="1896"/>
      <c r="T190" s="1896"/>
      <c r="U190" s="1896"/>
      <c r="V190" s="1896"/>
      <c r="W190" s="1332"/>
    </row>
    <row r="192" s="4798" customFormat="1" customHeight="1" ht="17.25">
      <c r="A192" s="1856" t="s">
        <v>1171</v>
      </c>
    </row>
    <row customHeight="1" ht="17.25">
      <c r="G193" s="1880"/>
      <c r="H193" s="1880"/>
      <c r="I193" s="1880"/>
      <c r="M193" s="1876"/>
    </row>
    <row s="2666" customFormat="1" customHeight="1" ht="15">
      <c r="D194" s="2416"/>
      <c r="E194" s="2036"/>
      <c r="F194" s="2036"/>
      <c r="G194" s="2044"/>
      <c r="H194" s="1604"/>
      <c r="I194" s="2417">
        <v>1</v>
      </c>
      <c r="J194" s="2389"/>
      <c r="K194" s="1619"/>
      <c r="L194" s="2044" t="s">
        <v>61</v>
      </c>
      <c r="M194" s="2044" t="s">
        <v>61</v>
      </c>
      <c r="N194" s="1604"/>
      <c r="O194" s="1982" t="s">
        <v>108</v>
      </c>
      <c r="P194" s="2411"/>
      <c r="Q194" s="1620"/>
      <c r="R194" s="2044" t="s">
        <v>61</v>
      </c>
      <c r="S194" s="2044" t="s">
        <v>61</v>
      </c>
      <c r="T194" s="1897"/>
      <c r="U194" s="1982" t="s">
        <v>108</v>
      </c>
      <c r="V194" s="2413" t="str">
        <f>IF(AK194="","",INDEX(TERRITORY_MR_LIST,MATCH(AK194,TERRITORY_LIST_ID,0)))</f>
        <v/>
      </c>
      <c r="W194" s="1621"/>
      <c r="X194" s="2044" t="s">
        <v>61</v>
      </c>
      <c r="Y194" s="2044" t="s">
        <v>56</v>
      </c>
      <c r="Z194" s="1604"/>
      <c r="AA194" s="1982" t="s">
        <v>108</v>
      </c>
      <c r="AB194" s="2415"/>
      <c r="AC194" s="1622"/>
      <c r="AD194" s="2044" t="s">
        <v>61</v>
      </c>
      <c r="AE194" s="2044" t="s">
        <v>56</v>
      </c>
      <c r="AF194" s="1602"/>
      <c r="AG194" s="1852" t="s">
        <v>108</v>
      </c>
      <c r="AH194" s="1612"/>
      <c r="AI194" s="1842"/>
    </row>
    <row s="2666" customFormat="1" customHeight="1" ht="15">
      <c r="D195" s="2416"/>
      <c r="E195" s="2036"/>
      <c r="F195" s="2036"/>
      <c r="G195" s="2045"/>
      <c r="H195" s="1604"/>
      <c r="I195" s="2417"/>
      <c r="J195" s="2389"/>
      <c r="K195" s="1603"/>
      <c r="L195" s="2045"/>
      <c r="M195" s="2045"/>
      <c r="N195" s="1604"/>
      <c r="O195" s="1982"/>
      <c r="P195" s="2411"/>
      <c r="Q195" s="1600"/>
      <c r="R195" s="2045"/>
      <c r="S195" s="2045"/>
      <c r="T195" s="1897"/>
      <c r="U195" s="1982"/>
      <c r="V195" s="2414"/>
      <c r="W195" s="1601"/>
      <c r="X195" s="2045"/>
      <c r="Y195" s="2045"/>
      <c r="Z195" s="1604"/>
      <c r="AA195" s="1982"/>
      <c r="AB195" s="2342"/>
      <c r="AC195" s="1605"/>
      <c r="AD195" s="1986"/>
      <c r="AE195" s="1986"/>
      <c r="AF195" s="1606"/>
      <c r="AG195" s="1607"/>
      <c r="AH195" s="2419" t="s">
        <v>1172</v>
      </c>
      <c r="AI195" s="2420"/>
    </row>
    <row s="2666" customFormat="1" customHeight="1" ht="15">
      <c r="D196" s="2416"/>
      <c r="E196" s="2036"/>
      <c r="F196" s="2036"/>
      <c r="G196" s="2045"/>
      <c r="H196" s="1604"/>
      <c r="I196" s="2417"/>
      <c r="J196" s="2389"/>
      <c r="K196" s="1603"/>
      <c r="L196" s="2045"/>
      <c r="M196" s="2045"/>
      <c r="N196" s="1604"/>
      <c r="O196" s="1982"/>
      <c r="P196" s="2411"/>
      <c r="Q196" s="1600"/>
      <c r="R196" s="2045"/>
      <c r="S196" s="2045"/>
      <c r="T196" s="1897"/>
      <c r="U196" s="1982"/>
      <c r="V196" s="2414"/>
      <c r="W196" s="1601"/>
      <c r="X196" s="2045"/>
      <c r="Y196" s="2045"/>
      <c r="Z196" s="1643"/>
      <c r="AA196" s="1609"/>
      <c r="AB196" s="2421" t="s">
        <v>1173</v>
      </c>
      <c r="AC196" s="2421"/>
      <c r="AD196" s="2421"/>
      <c r="AE196" s="2421"/>
      <c r="AF196" s="2421"/>
      <c r="AG196" s="2421"/>
      <c r="AH196" s="2421"/>
      <c r="AI196" s="2422"/>
    </row>
    <row s="2666" customFormat="1" customHeight="1" ht="15">
      <c r="D197" s="2416"/>
      <c r="E197" s="2036"/>
      <c r="F197" s="2036"/>
      <c r="G197" s="2045"/>
      <c r="H197" s="1604"/>
      <c r="I197" s="2417"/>
      <c r="J197" s="2389"/>
      <c r="K197" s="1603"/>
      <c r="L197" s="2045"/>
      <c r="M197" s="2045"/>
      <c r="N197" s="1604"/>
      <c r="O197" s="1982"/>
      <c r="P197" s="2423"/>
      <c r="Q197" s="1600"/>
      <c r="R197" s="2045"/>
      <c r="S197" s="2045"/>
      <c r="T197" s="1898"/>
      <c r="U197" s="1644"/>
      <c r="V197" s="2419" t="s">
        <v>102</v>
      </c>
      <c r="W197" s="2419"/>
      <c r="X197" s="2419"/>
      <c r="Y197" s="2419"/>
      <c r="Z197" s="2419"/>
      <c r="AA197" s="2419"/>
      <c r="AB197" s="2419"/>
      <c r="AC197" s="2419"/>
      <c r="AD197" s="2419"/>
      <c r="AE197" s="2419"/>
      <c r="AF197" s="2419"/>
      <c r="AG197" s="2419"/>
      <c r="AH197" s="2419"/>
      <c r="AI197" s="2420"/>
    </row>
    <row s="2666" customFormat="1" customHeight="1" ht="11.25">
      <c r="D198" s="2416"/>
      <c r="E198" s="2036"/>
      <c r="F198" s="2036"/>
      <c r="G198" s="2045"/>
      <c r="H198" s="1608"/>
      <c r="I198" s="2417"/>
      <c r="J198" s="2418"/>
      <c r="K198" s="1603"/>
      <c r="L198" s="2045"/>
      <c r="M198" s="2045"/>
      <c r="N198" s="1608"/>
      <c r="O198" s="1609"/>
      <c r="P198" s="2419" t="s">
        <v>1174</v>
      </c>
      <c r="Q198" s="2419"/>
      <c r="R198" s="2419"/>
      <c r="S198" s="2419"/>
      <c r="T198" s="2419"/>
      <c r="U198" s="2419"/>
      <c r="V198" s="2419"/>
      <c r="W198" s="2419"/>
      <c r="X198" s="2419"/>
      <c r="Y198" s="2419"/>
      <c r="Z198" s="2419"/>
      <c r="AA198" s="2419"/>
      <c r="AB198" s="2419"/>
      <c r="AC198" s="2419"/>
      <c r="AD198" s="2419"/>
      <c r="AE198" s="2419"/>
      <c r="AF198" s="2419"/>
      <c r="AG198" s="2419"/>
      <c r="AH198" s="2419"/>
      <c r="AI198" s="2420"/>
    </row>
    <row s="2937" customFormat="1" customHeight="1" ht="11.25">
      <c r="D199" s="2416"/>
      <c r="E199" s="2036"/>
      <c r="F199" s="2036"/>
      <c r="G199" s="1986"/>
      <c r="H199" s="1610"/>
      <c r="I199" s="1611"/>
      <c r="J199" s="2419" t="s">
        <v>170</v>
      </c>
      <c r="K199" s="2419"/>
      <c r="L199" s="2419"/>
      <c r="M199" s="2419"/>
      <c r="N199" s="2419"/>
      <c r="O199" s="2419"/>
      <c r="P199" s="2419"/>
      <c r="Q199" s="2419"/>
      <c r="R199" s="2419"/>
      <c r="S199" s="2419"/>
      <c r="T199" s="2419"/>
      <c r="U199" s="2419"/>
      <c r="V199" s="2419"/>
      <c r="W199" s="2419"/>
      <c r="X199" s="2419"/>
      <c r="Y199" s="2419"/>
      <c r="Z199" s="2419"/>
      <c r="AA199" s="2419"/>
      <c r="AB199" s="2419"/>
      <c r="AC199" s="2419"/>
      <c r="AD199" s="2419"/>
      <c r="AE199" s="2419"/>
      <c r="AF199" s="2419"/>
      <c r="AG199" s="2419"/>
      <c r="AH199" s="2419"/>
      <c r="AI199" s="2420"/>
      <c r="BK199" s="1614"/>
    </row>
    <row customHeight="1" ht="17.25">
      <c r="G200" s="1880"/>
      <c r="I200" s="1880"/>
      <c r="J200" s="1880"/>
      <c r="N200" s="1876"/>
    </row>
    <row s="2666" customFormat="1" customHeight="1" ht="15">
      <c r="D201" s="2416"/>
      <c r="E201" s="2036"/>
      <c r="F201" s="2036"/>
      <c r="G201" s="2041"/>
      <c r="H201" s="1639"/>
      <c r="I201" s="2046"/>
      <c r="J201" s="2002"/>
      <c r="K201" s="1826"/>
      <c r="L201" s="1989"/>
      <c r="M201" s="1989"/>
      <c r="N201" s="1624"/>
      <c r="O201" s="1989"/>
      <c r="P201" s="2002"/>
      <c r="Q201" s="1830"/>
      <c r="R201" s="1989"/>
      <c r="S201" s="1989"/>
      <c r="T201" s="1899"/>
      <c r="U201" s="1989"/>
      <c r="V201" s="2002"/>
      <c r="W201" s="1627"/>
      <c r="X201" s="1989"/>
      <c r="Y201" s="1989"/>
      <c r="Z201" s="1624"/>
      <c r="AA201" s="1989"/>
      <c r="AB201" s="2002"/>
      <c r="AC201" s="1628"/>
      <c r="AD201" s="1989"/>
      <c r="AE201" s="1989"/>
      <c r="AF201" s="1824"/>
      <c r="AG201" s="1824"/>
      <c r="AH201" s="1629"/>
      <c r="AI201" s="1326"/>
    </row>
    <row s="2666" customFormat="1" customHeight="1" ht="15">
      <c r="D202" s="2416"/>
      <c r="E202" s="2036"/>
      <c r="F202" s="2036"/>
      <c r="G202" s="2041"/>
      <c r="H202" s="1640"/>
      <c r="I202" s="2047"/>
      <c r="J202" s="2003"/>
      <c r="K202" s="1650"/>
      <c r="L202" s="1990"/>
      <c r="M202" s="1990"/>
      <c r="N202" s="1630"/>
      <c r="O202" s="1990"/>
      <c r="P202" s="2003"/>
      <c r="Q202" s="1831"/>
      <c r="R202" s="1990"/>
      <c r="S202" s="1990"/>
      <c r="T202" s="1900"/>
      <c r="U202" s="1990"/>
      <c r="V202" s="2003"/>
      <c r="W202" s="1633"/>
      <c r="X202" s="1990"/>
      <c r="Y202" s="1990"/>
      <c r="Z202" s="1630"/>
      <c r="AA202" s="1990"/>
      <c r="AB202" s="2003"/>
      <c r="AC202" s="1634"/>
      <c r="AD202" s="1990"/>
      <c r="AE202" s="1990"/>
      <c r="AF202" s="1829"/>
      <c r="AG202" s="1829"/>
      <c r="AH202" s="2050"/>
      <c r="AI202" s="2051"/>
    </row>
    <row s="2666" customFormat="1" customHeight="1" ht="15">
      <c r="D203" s="2416"/>
      <c r="E203" s="2036"/>
      <c r="F203" s="2036"/>
      <c r="G203" s="2041"/>
      <c r="H203" s="1640"/>
      <c r="I203" s="2047"/>
      <c r="J203" s="2003"/>
      <c r="K203" s="1650"/>
      <c r="L203" s="1990"/>
      <c r="M203" s="1990"/>
      <c r="N203" s="1630"/>
      <c r="O203" s="1990"/>
      <c r="P203" s="2003"/>
      <c r="Q203" s="1831"/>
      <c r="R203" s="1990"/>
      <c r="S203" s="1990"/>
      <c r="T203" s="1900"/>
      <c r="U203" s="1990"/>
      <c r="V203" s="2003"/>
      <c r="W203" s="1633"/>
      <c r="X203" s="1990"/>
      <c r="Y203" s="1990"/>
      <c r="Z203" s="1827"/>
      <c r="AA203" s="1829"/>
      <c r="AB203" s="2050"/>
      <c r="AC203" s="2050"/>
      <c r="AD203" s="2050"/>
      <c r="AE203" s="2050"/>
      <c r="AF203" s="2050"/>
      <c r="AG203" s="2050"/>
      <c r="AH203" s="2050"/>
      <c r="AI203" s="2051"/>
    </row>
    <row s="2666" customFormat="1" customHeight="1" ht="15">
      <c r="D204" s="2416"/>
      <c r="E204" s="2036"/>
      <c r="F204" s="2036"/>
      <c r="G204" s="2041"/>
      <c r="H204" s="1640"/>
      <c r="I204" s="2047"/>
      <c r="J204" s="2003"/>
      <c r="K204" s="1650"/>
      <c r="L204" s="1990"/>
      <c r="M204" s="1990"/>
      <c r="N204" s="1630"/>
      <c r="O204" s="1990"/>
      <c r="P204" s="2003"/>
      <c r="Q204" s="1831"/>
      <c r="R204" s="1990"/>
      <c r="S204" s="1990"/>
      <c r="T204" s="1901"/>
      <c r="U204" s="1637"/>
      <c r="V204" s="2050"/>
      <c r="W204" s="2050"/>
      <c r="X204" s="2050"/>
      <c r="Y204" s="2050"/>
      <c r="Z204" s="2050"/>
      <c r="AA204" s="2050"/>
      <c r="AB204" s="2050"/>
      <c r="AC204" s="2050"/>
      <c r="AD204" s="2050"/>
      <c r="AE204" s="2050"/>
      <c r="AF204" s="2050"/>
      <c r="AG204" s="2050"/>
      <c r="AH204" s="2050"/>
      <c r="AI204" s="2051"/>
    </row>
    <row s="2666" customFormat="1" customHeight="1" ht="11.25">
      <c r="D205" s="2416"/>
      <c r="E205" s="2036"/>
      <c r="F205" s="2036"/>
      <c r="G205" s="2041"/>
      <c r="H205" s="1641"/>
      <c r="I205" s="2047"/>
      <c r="J205" s="2003"/>
      <c r="K205" s="1650"/>
      <c r="L205" s="1990"/>
      <c r="M205" s="1990"/>
      <c r="N205" s="1829"/>
      <c r="O205" s="1829"/>
      <c r="P205" s="2050"/>
      <c r="Q205" s="2050"/>
      <c r="R205" s="2050"/>
      <c r="S205" s="2050"/>
      <c r="T205" s="2050"/>
      <c r="U205" s="2050"/>
      <c r="V205" s="2050"/>
      <c r="W205" s="2050"/>
      <c r="X205" s="2050"/>
      <c r="Y205" s="2050"/>
      <c r="Z205" s="2050"/>
      <c r="AA205" s="2050"/>
      <c r="AB205" s="2050"/>
      <c r="AC205" s="2050"/>
      <c r="AD205" s="2050"/>
      <c r="AE205" s="2050"/>
      <c r="AF205" s="2050"/>
      <c r="AG205" s="2050"/>
      <c r="AH205" s="2050"/>
      <c r="AI205" s="2051"/>
    </row>
    <row s="2937" customFormat="1" customHeight="1" ht="11.25">
      <c r="D206" s="2416"/>
      <c r="E206" s="2036"/>
      <c r="F206" s="2036"/>
      <c r="G206" s="2052"/>
      <c r="H206" s="1638"/>
      <c r="I206" s="1642"/>
      <c r="J206" s="2048"/>
      <c r="K206" s="2048"/>
      <c r="L206" s="2048"/>
      <c r="M206" s="2048"/>
      <c r="N206" s="2048"/>
      <c r="O206" s="2048"/>
      <c r="P206" s="2048"/>
      <c r="Q206" s="2048"/>
      <c r="R206" s="2048"/>
      <c r="S206" s="2048"/>
      <c r="T206" s="2048"/>
      <c r="U206" s="2048"/>
      <c r="V206" s="2048"/>
      <c r="W206" s="2048"/>
      <c r="X206" s="2048"/>
      <c r="Y206" s="2048"/>
      <c r="Z206" s="2048"/>
      <c r="AA206" s="2048"/>
      <c r="AB206" s="2048"/>
      <c r="AC206" s="2048"/>
      <c r="AD206" s="2048"/>
      <c r="AE206" s="2048"/>
      <c r="AF206" s="2048"/>
      <c r="AG206" s="2048"/>
      <c r="AH206" s="2048"/>
      <c r="AI206" s="2049"/>
      <c r="BK206" s="1614"/>
    </row>
    <row customHeight="1" ht="17.25">
      <c r="A207" s="1892"/>
    </row>
  </sheetData>
  <sheetProtection formatColumns="0" formatRows="0" sort="0" autoFilter="0" insertRows="0" insertColumns="1" deleteRows="0" deleteColumns="0"/>
  <mergeCells count="285">
    <mergeCell ref="P183:P184"/>
    <mergeCell ref="Q183:Q184"/>
    <mergeCell ref="R183:R184"/>
    <mergeCell ref="S183:S184"/>
    <mergeCell ref="W183:W184"/>
    <mergeCell ref="W174:W175"/>
    <mergeCell ref="L179:L181"/>
    <mergeCell ref="M179:M181"/>
    <mergeCell ref="N179:N181"/>
    <mergeCell ref="O179:O181"/>
    <mergeCell ref="P179:P180"/>
    <mergeCell ref="Q179:Q180"/>
    <mergeCell ref="R179:R180"/>
    <mergeCell ref="S179:S180"/>
    <mergeCell ref="W179:W180"/>
    <mergeCell ref="P161:P162"/>
    <mergeCell ref="Q161:Q162"/>
    <mergeCell ref="R161:R162"/>
    <mergeCell ref="S161:S162"/>
    <mergeCell ref="H174:H177"/>
    <mergeCell ref="I174:I177"/>
    <mergeCell ref="J174:J177"/>
    <mergeCell ref="K174:K177"/>
    <mergeCell ref="L174:L176"/>
    <mergeCell ref="M174:M176"/>
    <mergeCell ref="N174:N176"/>
    <mergeCell ref="O174:O176"/>
    <mergeCell ref="P174:P175"/>
    <mergeCell ref="Q174:Q175"/>
    <mergeCell ref="R174:R175"/>
    <mergeCell ref="S174:S175"/>
    <mergeCell ref="S168:S169"/>
    <mergeCell ref="O152:O154"/>
    <mergeCell ref="P152:P153"/>
    <mergeCell ref="Q152:Q153"/>
    <mergeCell ref="R152:R153"/>
    <mergeCell ref="S152:S153"/>
    <mergeCell ref="L157:L159"/>
    <mergeCell ref="M157:M159"/>
    <mergeCell ref="N157:N159"/>
    <mergeCell ref="O157:O159"/>
    <mergeCell ref="P157:P158"/>
    <mergeCell ref="Q157:Q158"/>
    <mergeCell ref="R157:R158"/>
    <mergeCell ref="S157:S158"/>
    <mergeCell ref="AF93:AF97"/>
    <mergeCell ref="AG93:AG97"/>
    <mergeCell ref="AH93:AH97"/>
    <mergeCell ref="AI93:AI97"/>
    <mergeCell ref="AJ93:AJ97"/>
    <mergeCell ref="AK93:AK97"/>
    <mergeCell ref="N94:N96"/>
    <mergeCell ref="O94:O96"/>
    <mergeCell ref="P94:P96"/>
    <mergeCell ref="Q94:Q96"/>
    <mergeCell ref="R94:R96"/>
    <mergeCell ref="S94:S96"/>
    <mergeCell ref="T94:T96"/>
    <mergeCell ref="U94:U96"/>
    <mergeCell ref="V94:V96"/>
    <mergeCell ref="W94:W96"/>
    <mergeCell ref="X94:X96"/>
    <mergeCell ref="Y94:Y96"/>
    <mergeCell ref="S83:S85"/>
    <mergeCell ref="T83:T85"/>
    <mergeCell ref="U83:U85"/>
    <mergeCell ref="V83:V85"/>
    <mergeCell ref="W83:W85"/>
    <mergeCell ref="X83:X85"/>
    <mergeCell ref="Y83:Y85"/>
    <mergeCell ref="H93:H97"/>
    <mergeCell ref="I93:I97"/>
    <mergeCell ref="J93:J97"/>
    <mergeCell ref="K93:K97"/>
    <mergeCell ref="L93:L97"/>
    <mergeCell ref="M93:M97"/>
    <mergeCell ref="AB201:AB202"/>
    <mergeCell ref="AD201:AD202"/>
    <mergeCell ref="AE201:AE202"/>
    <mergeCell ref="AH202:AI202"/>
    <mergeCell ref="AB203:AI203"/>
    <mergeCell ref="V204:AI204"/>
    <mergeCell ref="P205:AI205"/>
    <mergeCell ref="J206:AI206"/>
    <mergeCell ref="AD194:AD195"/>
    <mergeCell ref="AE194:AE195"/>
    <mergeCell ref="AH195:AI195"/>
    <mergeCell ref="AB196:AI196"/>
    <mergeCell ref="V197:AI197"/>
    <mergeCell ref="P198:AI198"/>
    <mergeCell ref="J199:AI199"/>
    <mergeCell ref="P201:P204"/>
    <mergeCell ref="R201:R204"/>
    <mergeCell ref="S201:S204"/>
    <mergeCell ref="U201:U203"/>
    <mergeCell ref="V201:V203"/>
    <mergeCell ref="X201:X203"/>
    <mergeCell ref="Y201:Y203"/>
    <mergeCell ref="AA201:AA202"/>
    <mergeCell ref="P194:P197"/>
    <mergeCell ref="D201:D206"/>
    <mergeCell ref="E201:E206"/>
    <mergeCell ref="F201:F206"/>
    <mergeCell ref="G201:G206"/>
    <mergeCell ref="I201:I205"/>
    <mergeCell ref="J201:J205"/>
    <mergeCell ref="L201:L205"/>
    <mergeCell ref="M201:M205"/>
    <mergeCell ref="O201:O204"/>
    <mergeCell ref="R194:R197"/>
    <mergeCell ref="S194:S197"/>
    <mergeCell ref="U194:U196"/>
    <mergeCell ref="V194:V196"/>
    <mergeCell ref="X194:X196"/>
    <mergeCell ref="Y194:Y196"/>
    <mergeCell ref="AA194:AA195"/>
    <mergeCell ref="AB194:AB195"/>
    <mergeCell ref="D194:D199"/>
    <mergeCell ref="E194:E199"/>
    <mergeCell ref="F194:F199"/>
    <mergeCell ref="G194:G199"/>
    <mergeCell ref="I194:I198"/>
    <mergeCell ref="J194:J198"/>
    <mergeCell ref="L194:L198"/>
    <mergeCell ref="M194:M198"/>
    <mergeCell ref="O194:O197"/>
    <mergeCell ref="W168:W169"/>
    <mergeCell ref="D168:D172"/>
    <mergeCell ref="E168:E172"/>
    <mergeCell ref="F168:F172"/>
    <mergeCell ref="G168:G172"/>
    <mergeCell ref="H168:H171"/>
    <mergeCell ref="I168:I171"/>
    <mergeCell ref="J168:J171"/>
    <mergeCell ref="K168:K171"/>
    <mergeCell ref="L168:L170"/>
    <mergeCell ref="AJ74:AJ78"/>
    <mergeCell ref="AK74:AK78"/>
    <mergeCell ref="I79:K79"/>
    <mergeCell ref="F74:F79"/>
    <mergeCell ref="AF74:AF78"/>
    <mergeCell ref="AG74:AG78"/>
    <mergeCell ref="AH74:AH78"/>
    <mergeCell ref="AI74:AI78"/>
    <mergeCell ref="S75:S77"/>
    <mergeCell ref="T75:T77"/>
    <mergeCell ref="U75:U77"/>
    <mergeCell ref="V75:V77"/>
    <mergeCell ref="W75:W77"/>
    <mergeCell ref="X75:X77"/>
    <mergeCell ref="Y75:Y77"/>
    <mergeCell ref="H74:H78"/>
    <mergeCell ref="I74:I78"/>
    <mergeCell ref="J74:J78"/>
    <mergeCell ref="K74:K78"/>
    <mergeCell ref="L74:L78"/>
    <mergeCell ref="M74:M78"/>
    <mergeCell ref="N75:N77"/>
    <mergeCell ref="O75:O77"/>
    <mergeCell ref="Y64:Y65"/>
    <mergeCell ref="S64:S65"/>
    <mergeCell ref="T64:T65"/>
    <mergeCell ref="M64:M65"/>
    <mergeCell ref="N64:N65"/>
    <mergeCell ref="O64:O65"/>
    <mergeCell ref="Q64:Q65"/>
    <mergeCell ref="R64:R65"/>
    <mergeCell ref="W64:W65"/>
    <mergeCell ref="X64:X65"/>
    <mergeCell ref="P64:P65"/>
    <mergeCell ref="Q186:Q187"/>
    <mergeCell ref="R186:R187"/>
    <mergeCell ref="S186:S187"/>
    <mergeCell ref="P186:P187"/>
    <mergeCell ref="I186:I189"/>
    <mergeCell ref="F186:F190"/>
    <mergeCell ref="A13:A15"/>
    <mergeCell ref="D23:D25"/>
    <mergeCell ref="E23:E25"/>
    <mergeCell ref="F23:F25"/>
    <mergeCell ref="G23:G24"/>
    <mergeCell ref="H23:H24"/>
    <mergeCell ref="I23:I24"/>
    <mergeCell ref="J23:J24"/>
    <mergeCell ref="G29:G30"/>
    <mergeCell ref="H29:H30"/>
    <mergeCell ref="I29:I30"/>
    <mergeCell ref="J29:J30"/>
    <mergeCell ref="M168:M170"/>
    <mergeCell ref="N168:N170"/>
    <mergeCell ref="O168:O170"/>
    <mergeCell ref="P168:P169"/>
    <mergeCell ref="Q168:Q169"/>
    <mergeCell ref="R168:R169"/>
    <mergeCell ref="D186:D190"/>
    <mergeCell ref="I146:I149"/>
    <mergeCell ref="H186:H189"/>
    <mergeCell ref="J186:J189"/>
    <mergeCell ref="K186:K189"/>
    <mergeCell ref="M186:M188"/>
    <mergeCell ref="O186:O188"/>
    <mergeCell ref="L186:L188"/>
    <mergeCell ref="L146:L148"/>
    <mergeCell ref="N186:N188"/>
    <mergeCell ref="E146:E150"/>
    <mergeCell ref="N146:N148"/>
    <mergeCell ref="J146:J149"/>
    <mergeCell ref="F146:F150"/>
    <mergeCell ref="E186:E190"/>
    <mergeCell ref="H146:H149"/>
    <mergeCell ref="G186:G190"/>
    <mergeCell ref="H152:H155"/>
    <mergeCell ref="I152:I155"/>
    <mergeCell ref="J152:J155"/>
    <mergeCell ref="K152:K155"/>
    <mergeCell ref="L152:L154"/>
    <mergeCell ref="M152:M154"/>
    <mergeCell ref="N152:N154"/>
    <mergeCell ref="AC107:AC112"/>
    <mergeCell ref="E108:G108"/>
    <mergeCell ref="H108:R108"/>
    <mergeCell ref="E109:G109"/>
    <mergeCell ref="E131:E134"/>
    <mergeCell ref="F131:F134"/>
    <mergeCell ref="G131:G134"/>
    <mergeCell ref="L131:M131"/>
    <mergeCell ref="S131:S134"/>
    <mergeCell ref="H132:H133"/>
    <mergeCell ref="I132:I133"/>
    <mergeCell ref="J132:J133"/>
    <mergeCell ref="K132:K133"/>
    <mergeCell ref="H109:R109"/>
    <mergeCell ref="E110:P110"/>
    <mergeCell ref="U110:U112"/>
    <mergeCell ref="V110:V112"/>
    <mergeCell ref="E113:P113"/>
    <mergeCell ref="AC119:AC124"/>
    <mergeCell ref="E120:G120"/>
    <mergeCell ref="H120:R120"/>
    <mergeCell ref="E121:G121"/>
    <mergeCell ref="H121:R121"/>
    <mergeCell ref="E122:P122"/>
    <mergeCell ref="D119:D127"/>
    <mergeCell ref="E119:G119"/>
    <mergeCell ref="H119:R119"/>
    <mergeCell ref="D107:D115"/>
    <mergeCell ref="E107:G107"/>
    <mergeCell ref="H107:R107"/>
    <mergeCell ref="M146:M148"/>
    <mergeCell ref="P75:P77"/>
    <mergeCell ref="Q75:Q77"/>
    <mergeCell ref="R75:R77"/>
    <mergeCell ref="N83:N85"/>
    <mergeCell ref="O83:O85"/>
    <mergeCell ref="P83:P85"/>
    <mergeCell ref="Q83:Q85"/>
    <mergeCell ref="R83:R85"/>
    <mergeCell ref="H139:H140"/>
    <mergeCell ref="I139:I140"/>
    <mergeCell ref="J139:J140"/>
    <mergeCell ref="K139:K140"/>
    <mergeCell ref="F64:F65"/>
    <mergeCell ref="G64:G65"/>
    <mergeCell ref="H64:H65"/>
    <mergeCell ref="I64:I65"/>
    <mergeCell ref="J64:J65"/>
    <mergeCell ref="K64:K65"/>
    <mergeCell ref="U113:U115"/>
    <mergeCell ref="V113:V115"/>
    <mergeCell ref="D146:D150"/>
    <mergeCell ref="L64:L65"/>
    <mergeCell ref="G74:G78"/>
    <mergeCell ref="U125:U127"/>
    <mergeCell ref="V125:V127"/>
    <mergeCell ref="O146:O148"/>
    <mergeCell ref="S146:S147"/>
    <mergeCell ref="U64:U65"/>
    <mergeCell ref="V64:V65"/>
    <mergeCell ref="U122:U124"/>
    <mergeCell ref="V122:V124"/>
    <mergeCell ref="P146:P147"/>
    <mergeCell ref="Q146:Q147"/>
    <mergeCell ref="R146:R147"/>
    <mergeCell ref="G146:G150"/>
    <mergeCell ref="K146:K149"/>
  </mergeCells>
  <dataValidations count="19">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94 AC201">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6:N148 N168:N170 N152:N154 N157:N159 N161:N162 N174:N176 N179:N181 N183:N184"/>
    <dataValidation type="list" allowBlank="1" showInputMessage="1" showErrorMessage="1" errorTitle="Ошибка" error="Выберите значение из списка" prompt="Выберите значение из списка" sqref="H102">
      <formula1>QRE_METHOD_LIST</formula1>
    </dataValidation>
    <dataValidation type="list" allowBlank="1" showInputMessage="1" showErrorMessage="1" errorTitle="Ошибка" error="Выберите значение из списка" prompt="Выберите значение из списка" sqref="J132:J133 J139:J140 J142">
      <formula1>kind_of_purchase_method</formula1>
    </dataValidation>
    <dataValidation allowBlank="1" showInputMessage="1" showErrorMessage="1" promptTitle="Ввод" prompt="Для выбора ИП необходимо два раза нажать левую кнопку мыши!" sqref="G64 G69"/>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52"/>
    <dataValidation type="whole" allowBlank="1" showErrorMessage="1" errorTitle="Ошибка" error="Допускается ввод только неотрицательных целых чисел!" sqref="AF83:AF85 AI83:AI85 AF93:AF97 AI93:AI97 AF89 AI89 AF74:AF78 AI74:AI78 N52 P52 U52:V52 Y52:Z52 J52 R52:S52 AC5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52">
      <formula1>kind_of_power_te_unit</formula1>
    </dataValidation>
    <dataValidation allowBlank="1" showInputMessage="1" showErrorMessage="1" prompt="Изменение значения по двойному щелчоку левой кнопки мыши" sqref="J48"/>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74:J77 K64 K69 I89:J89 I93:J96">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48 H56 F6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6:N188">
      <formula1>DESCRIPTION_TERRITORY</formula1>
    </dataValidation>
    <dataValidation allowBlank="1" showInputMessage="1" showErrorMessage="1" prompt="Выберите виды деятельности, выполнив двойной щелчок левой кнопки мыши по ячейке." sqref="G157:G159 G164 G146:G150 G183:G184 G152:G155 G168:G172 G174:G177 G179:G181 G161:G162"/>
    <dataValidation type="decimal" allowBlank="1" showErrorMessage="1" errorTitle="Ошибка" error="Допускается ввод только неотрицательных чисел!" sqref="Q139 O139 O142 Q142 Q132 O132 AC76 AE76 AC84 AE84 AE89 AE95 AC95 AC89 T52 H52:I52 AB52 X52 K52 M52 O52 Q52">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56 T64 I64:J64 X64 T69 I69:J69 X69"/>
    <dataValidation allowBlank="1" showInputMessage="1" showErrorMessage="1" prompt="Для выбора выполните двойной щелчок левой клавиши мыши по соответствующей ячейке." sqref="K186:K187 O186:O187 S146:S147 S186:S187 O146 K146 F157:F159 S168:S169 O168 K168 F164 K152 S152:S153 O152 F146:F150 K157 S157:S158 O157 O183 K161 S161:S162 O161 F152:F155 K174 S174:S175 O174 F168:F172 F174:F177 S179:S180 O179 F179:F181 F183:F184 S183:S184 F161:F162"/>
    <dataValidation type="textLength" operator="lessThanOrEqual" allowBlank="1" showInputMessage="1" showErrorMessage="1" errorTitle="Ошибка" error="Допускается ввод не более 900 символов!" sqref="L64:M64 E8 J186:J187 R186:R187 U64:W64 V186:W186 AB64 G13 M34 E39 E43:F43 R183:R184 E56:F56 E60 G60 Q64:S64 M74 K74:K77 V146:W146 J146:J147 R146:R147 V168:W168 J168:J169 R168:R169 AI194 J194:J198 P194:P197 AI201 J201:J205 P201:P204 E4 L69:M69 U69:W69 AB69 Q69:S69 V164:W164 J164 R164 K83:K85 M93 K93:K96 K89 V152:W152 J152:J153 R152:R153 V157:W157 J157:J158 R157:R158 V161:W161 J161:J162 R161:R162 V174:W174 J174:J175 R174:R175 V179:W179 J179:J180 R179:R180 V183:W183 J183:J184 E52">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8EDF309-8198-3998-DDB6-2637F20E6448}" mc:Ignorable="x14ac xr xr2 xr3">
  <sheetPr>
    <tabColor rgb="FFFFCC99"/>
  </sheetPr>
  <dimension ref="A1:CD118"/>
  <sheetViews>
    <sheetView topLeftCell="A1" showGridLines="0" workbookViewId="0">
      <selection activeCell="A1" sqref="A1"/>
    </sheetView>
  </sheetViews>
  <sheetFormatPr defaultColWidth="9.140625" customHeight="1" defaultRowHeight="11.25"/>
  <cols>
    <col min="1" max="1" style="5180" width="32.57421875" customWidth="1"/>
    <col min="2" max="2" style="5181" width="11.00390625" customWidth="1"/>
    <col min="3" max="3" style="5181" width="9.140625"/>
    <col min="4" max="4" style="5181" width="26.57421875" customWidth="1"/>
    <col min="5" max="5" style="5095" width="27.7109375" customWidth="1"/>
    <col min="6" max="6" style="5095" width="23.57421875" customWidth="1"/>
    <col min="7" max="7" style="5095" width="31.421875" customWidth="1"/>
    <col min="8" max="8" style="5095" width="40.8515625" customWidth="1"/>
    <col min="9" max="9" style="5095" width="14.57421875" customWidth="1"/>
    <col min="10" max="10" style="5095" width="26.8515625" customWidth="1"/>
    <col min="11" max="11" style="5095" width="50.00390625" customWidth="1"/>
    <col min="12" max="12" style="5095" width="52.421875" customWidth="1"/>
    <col min="13" max="13" style="5095" width="10.7109375" customWidth="1"/>
    <col min="14" max="14" style="5095" width="55.140625" customWidth="1"/>
    <col min="15" max="15" style="5095" width="31.8515625" customWidth="1"/>
    <col min="16" max="16" style="5095" width="23.8515625" customWidth="1"/>
    <col min="17" max="17" style="5095" width="46.57421875" customWidth="1"/>
    <col min="18" max="18" style="5095" width="24.00390625" customWidth="1"/>
    <col min="19" max="19" style="5095" width="20.57421875" customWidth="1"/>
    <col min="20" max="20" style="5095" width="22.00390625" customWidth="1"/>
    <col min="21" max="22" style="5095" width="26.421875" customWidth="1"/>
    <col min="23" max="23" style="5095" width="8.28125" hidden="1" customWidth="1"/>
    <col min="24" max="24" style="5095" width="59.7109375" customWidth="1"/>
    <col min="25" max="25" style="5095" width="49.140625" customWidth="1"/>
    <col min="26" max="26" style="5095" width="11.140625" customWidth="1"/>
    <col min="27" max="30" style="5095" width="29.00390625" customWidth="1"/>
    <col min="31" max="31" style="5095" width="9.140625"/>
    <col min="32" max="32" style="5095" width="34.7109375" customWidth="1"/>
    <col min="33" max="33" style="5095" width="9.140625"/>
    <col min="34" max="35" style="5095" width="34.421875" customWidth="1"/>
    <col min="36" max="36" style="5095" width="9.140625"/>
    <col min="37" max="37" style="5095" width="24.57421875" customWidth="1"/>
    <col min="38" max="38" style="5095" width="9.140625"/>
    <col min="39" max="39" style="5095" width="26.140625" customWidth="1"/>
    <col min="40" max="40" style="5095" width="1.7109375" customWidth="1"/>
    <col min="41" max="41" style="5095" width="9.140625"/>
    <col min="42" max="43" style="5095" width="47.8515625" customWidth="1"/>
    <col min="44" max="44" style="5095" width="1.7109375" customWidth="1"/>
    <col min="45" max="45" style="5095" width="21.421875" customWidth="1"/>
    <col min="46" max="46" style="5095" width="1.7109375" customWidth="1"/>
    <col min="47" max="47" style="5095" width="31.28125" customWidth="1"/>
    <col min="48" max="48" style="5095" width="1.7109375" customWidth="1"/>
    <col min="49" max="50" style="5182" width="9.140625"/>
    <col min="51" max="51" style="5095" width="3.7109375" customWidth="1"/>
    <col min="52" max="52" style="5095" width="55.00390625" customWidth="1"/>
    <col min="53" max="53" style="5095" width="9.140625"/>
    <col min="54" max="54" style="5095" width="35.140625" customWidth="1"/>
    <col min="55" max="55" style="5095" width="9.140625"/>
    <col min="56" max="56" style="5095" width="1.7109375" customWidth="1"/>
    <col min="57" max="57" style="5183" width="12.57421875" customWidth="1"/>
    <col min="58" max="58" style="5183" width="14.28125" customWidth="1"/>
    <col min="59" max="59" style="5095" width="30.7109375" customWidth="1"/>
    <col min="60" max="60" style="5090" width="40.7109375" customWidth="1"/>
    <col min="61" max="61" style="5090" width="15.00390625" customWidth="1"/>
    <col min="62" max="62" style="5090" width="40.7109375" customWidth="1"/>
    <col min="63" max="63" style="5090" width="2.7109375" customWidth="1"/>
    <col min="64" max="64" style="5090" width="44.7109375" customWidth="1"/>
    <col min="65" max="65" style="5090" width="2.7109375" customWidth="1"/>
    <col min="66" max="66" style="5090" width="40.7109375" customWidth="1"/>
    <col min="67" max="68" style="5095" width="9.140625"/>
    <col min="69" max="69" style="5095" width="18.140625" customWidth="1"/>
    <col min="70" max="70" style="5095" width="57.8515625" customWidth="1"/>
    <col min="71" max="71" style="5150" width="1.7109375" customWidth="1"/>
    <col min="72" max="72" style="5095" width="22.57421875" customWidth="1"/>
    <col min="73" max="73" style="5095" width="57.8515625" customWidth="1"/>
    <col min="74" max="74" style="5095" width="1.7109375" customWidth="1"/>
    <col min="75" max="75" style="5095" width="22.57421875" customWidth="1"/>
    <col min="76" max="76" style="5095" width="57.8515625" customWidth="1"/>
    <col min="77" max="77" style="5095" width="1.7109375" customWidth="1"/>
    <col min="78" max="78" style="5095" width="22.57421875" customWidth="1"/>
    <col min="79" max="79" style="5095" width="57.8515625" customWidth="1"/>
    <col min="80" max="81" style="5095" width="9.140625"/>
    <col min="82" max="82" style="5095" width="49.57421875" customWidth="1"/>
  </cols>
  <sheetData>
    <row s="5085" customFormat="1" customHeight="1" ht="11.25">
      <c r="A1" s="1074" t="s">
        <v>1175</v>
      </c>
      <c r="B1" s="1074" t="s">
        <v>1176</v>
      </c>
      <c r="C1" s="1074" t="s">
        <v>1177</v>
      </c>
      <c r="D1" s="1074" t="s">
        <v>1178</v>
      </c>
      <c r="E1" s="1074" t="s">
        <v>1179</v>
      </c>
      <c r="F1" s="1074" t="s">
        <v>1180</v>
      </c>
      <c r="G1" s="1074" t="s">
        <v>1181</v>
      </c>
      <c r="H1" s="1074" t="s">
        <v>1182</v>
      </c>
      <c r="I1" s="1074" t="s">
        <v>1183</v>
      </c>
      <c r="J1" s="1074" t="s">
        <v>1184</v>
      </c>
      <c r="K1" s="1074" t="s">
        <v>1185</v>
      </c>
      <c r="L1" s="1074" t="s">
        <v>1186</v>
      </c>
      <c r="M1" s="1074"/>
      <c r="N1" s="1074" t="s">
        <v>1187</v>
      </c>
      <c r="O1" s="1074" t="s">
        <v>1188</v>
      </c>
      <c r="P1" s="1074" t="s">
        <v>1189</v>
      </c>
      <c r="Q1" s="1074" t="s">
        <v>1190</v>
      </c>
      <c r="R1" s="1074" t="s">
        <v>1191</v>
      </c>
      <c r="S1" s="1074" t="s">
        <v>1192</v>
      </c>
      <c r="T1" s="1074" t="s">
        <v>1193</v>
      </c>
      <c r="U1" s="1074" t="s">
        <v>1194</v>
      </c>
      <c r="V1" s="1074"/>
      <c r="W1" s="803" t="s">
        <v>1195</v>
      </c>
      <c r="X1" s="1074" t="s">
        <v>1196</v>
      </c>
      <c r="Y1" s="1074" t="s">
        <v>1197</v>
      </c>
      <c r="Z1" s="1074"/>
      <c r="AA1" s="1074" t="s">
        <v>1198</v>
      </c>
      <c r="AB1" s="1074"/>
      <c r="AC1" s="1074" t="s">
        <v>1199</v>
      </c>
      <c r="AD1" s="1074"/>
      <c r="AF1" s="1074" t="s">
        <v>1200</v>
      </c>
      <c r="AH1" s="1074" t="s">
        <v>1201</v>
      </c>
      <c r="AI1" s="1074" t="s">
        <v>1202</v>
      </c>
      <c r="AK1" s="1074" t="s">
        <v>1203</v>
      </c>
      <c r="AM1" s="1074" t="s">
        <v>1204</v>
      </c>
      <c r="AP1" s="1074" t="s">
        <v>1205</v>
      </c>
      <c r="AQ1" s="1074" t="s">
        <v>1206</v>
      </c>
      <c r="AS1" s="1074" t="s">
        <v>1207</v>
      </c>
      <c r="AU1" s="1074" t="s">
        <v>1208</v>
      </c>
      <c r="AW1" s="1074" t="s">
        <v>1209</v>
      </c>
      <c r="AX1" s="1074" t="s">
        <v>1210</v>
      </c>
      <c r="AZ1" s="1160" t="s">
        <v>1211</v>
      </c>
      <c r="BB1" s="1074" t="s">
        <v>1212</v>
      </c>
      <c r="BC1" s="1074"/>
      <c r="BE1" s="1074" t="s">
        <v>1213</v>
      </c>
      <c r="BF1" s="1074" t="s">
        <v>1214</v>
      </c>
      <c r="BH1" s="1076" t="s">
        <v>709</v>
      </c>
      <c r="BI1" s="1077"/>
      <c r="BJ1" s="1078" t="s">
        <v>1215</v>
      </c>
      <c r="BK1" s="1077"/>
      <c r="BL1" s="1079" t="s">
        <v>807</v>
      </c>
      <c r="BM1" s="1077"/>
      <c r="BN1" s="1080" t="s">
        <v>1216</v>
      </c>
      <c r="BS1" s="1457"/>
    </row>
    <row customHeight="1" ht="11.25">
      <c r="A2" s="1081" t="s">
        <v>1217</v>
      </c>
      <c r="B2" s="1082">
        <v>2000</v>
      </c>
      <c r="C2" s="1082">
        <v>2022</v>
      </c>
      <c r="D2" s="1082" t="s">
        <v>61</v>
      </c>
      <c r="E2" s="1083" t="s">
        <v>1218</v>
      </c>
      <c r="F2" s="1083" t="s">
        <v>1219</v>
      </c>
      <c r="G2" s="1083" t="s">
        <v>1220</v>
      </c>
      <c r="H2" s="1084" t="s">
        <v>54</v>
      </c>
      <c r="I2" s="1083" t="s">
        <v>108</v>
      </c>
      <c r="J2" s="1083" t="s">
        <v>1221</v>
      </c>
      <c r="K2" s="1085" t="s">
        <v>1222</v>
      </c>
      <c r="L2" s="1086"/>
      <c r="M2" s="1085">
        <v>1</v>
      </c>
      <c r="N2" s="1170" t="s">
        <v>1223</v>
      </c>
      <c r="O2" s="1084" t="s">
        <v>442</v>
      </c>
      <c r="P2" s="1087" t="s">
        <v>33</v>
      </c>
      <c r="Q2" s="1088" t="s">
        <v>440</v>
      </c>
      <c r="R2" s="129" t="s">
        <v>1224</v>
      </c>
      <c r="S2" s="129" t="s">
        <v>1225</v>
      </c>
      <c r="T2" s="1089" t="s">
        <v>1226</v>
      </c>
      <c r="U2" s="1086" t="s">
        <v>1227</v>
      </c>
      <c r="V2" s="1090">
        <v>1</v>
      </c>
      <c r="W2" s="1091"/>
      <c r="X2" s="1091" t="s">
        <v>1228</v>
      </c>
      <c r="Y2" s="1082" t="s">
        <v>1229</v>
      </c>
      <c r="Z2" s="1092"/>
      <c r="AA2" s="1082" t="s">
        <v>1230</v>
      </c>
      <c r="AB2" s="1093" t="s">
        <v>1230</v>
      </c>
      <c r="AC2" s="1082" t="s">
        <v>1231</v>
      </c>
      <c r="AD2" s="1093" t="s">
        <v>1231</v>
      </c>
      <c r="AF2" s="1084" t="s">
        <v>1227</v>
      </c>
      <c r="AH2" s="1083" t="s">
        <v>1232</v>
      </c>
      <c r="AI2" s="1083" t="s">
        <v>1232</v>
      </c>
      <c r="AK2" s="1083" t="s">
        <v>1233</v>
      </c>
      <c r="AM2" s="1083" t="s">
        <v>1234</v>
      </c>
      <c r="AP2" s="1094" t="s">
        <v>1228</v>
      </c>
      <c r="AQ2" s="1095" t="s">
        <v>1228</v>
      </c>
      <c r="AS2" s="1082" t="s">
        <v>1235</v>
      </c>
      <c r="AU2" s="1128" t="s">
        <v>1236</v>
      </c>
      <c r="AW2" s="1128" t="s">
        <v>1237</v>
      </c>
      <c r="AX2" s="1128" t="s">
        <v>1237</v>
      </c>
      <c r="AZ2" s="1128" t="s">
        <v>52</v>
      </c>
      <c r="BB2" s="1128" t="s">
        <v>1238</v>
      </c>
      <c r="BC2" s="1128" t="s">
        <v>1239</v>
      </c>
      <c r="BE2" s="1128">
        <v>2000</v>
      </c>
      <c r="BF2" s="1128" t="s">
        <v>1240</v>
      </c>
    </row>
    <row customHeight="1" ht="11.25">
      <c r="A3" s="1081" t="s">
        <v>1241</v>
      </c>
      <c r="B3" s="1082">
        <v>2001</v>
      </c>
      <c r="C3" s="1082">
        <v>2023</v>
      </c>
      <c r="D3" s="1082" t="s">
        <v>56</v>
      </c>
      <c r="E3" s="1083" t="s">
        <v>1242</v>
      </c>
      <c r="F3" s="1083" t="s">
        <v>1243</v>
      </c>
      <c r="G3" s="1083" t="s">
        <v>1244</v>
      </c>
      <c r="H3" s="1084" t="s">
        <v>1245</v>
      </c>
      <c r="I3" s="1083" t="s">
        <v>109</v>
      </c>
      <c r="J3" s="1083" t="s">
        <v>543</v>
      </c>
      <c r="K3" s="1085" t="s">
        <v>1246</v>
      </c>
      <c r="L3" s="1086">
        <f>_xlfn.IFERROR(MATCH(K3,OFFER_METHOD,0),0)</f>
        <v>0</v>
      </c>
      <c r="M3" s="1085">
        <v>2</v>
      </c>
      <c r="N3" s="1170" t="s">
        <v>1247</v>
      </c>
      <c r="O3" s="1084" t="s">
        <v>1248</v>
      </c>
      <c r="P3" s="1087" t="s">
        <v>1249</v>
      </c>
      <c r="Q3" s="1088" t="s">
        <v>1250</v>
      </c>
      <c r="R3" s="129" t="s">
        <v>441</v>
      </c>
      <c r="S3" s="129" t="s">
        <v>1251</v>
      </c>
      <c r="T3" s="1089" t="s">
        <v>1252</v>
      </c>
      <c r="U3" s="1086" t="s">
        <v>1253</v>
      </c>
      <c r="V3" s="1090">
        <v>2</v>
      </c>
      <c r="W3" s="1091"/>
      <c r="X3" s="1091" t="s">
        <v>1254</v>
      </c>
      <c r="Y3" s="1082" t="s">
        <v>1229</v>
      </c>
      <c r="Z3" s="1092"/>
      <c r="AA3" s="1082" t="s">
        <v>1255</v>
      </c>
      <c r="AB3" s="1093" t="s">
        <v>1255</v>
      </c>
      <c r="AC3" s="1082" t="s">
        <v>1256</v>
      </c>
      <c r="AD3" s="1093" t="s">
        <v>1256</v>
      </c>
      <c r="AF3" s="1084" t="s">
        <v>1253</v>
      </c>
      <c r="AH3" s="1083" t="s">
        <v>1257</v>
      </c>
      <c r="AI3" s="1083" t="s">
        <v>1258</v>
      </c>
      <c r="AK3" s="1083" t="s">
        <v>1259</v>
      </c>
      <c r="AM3" s="1083" t="s">
        <v>1260</v>
      </c>
      <c r="AP3" s="1094" t="s">
        <v>1261</v>
      </c>
      <c r="AQ3" s="1095" t="s">
        <v>1261</v>
      </c>
      <c r="AS3" s="1082" t="s">
        <v>1262</v>
      </c>
      <c r="AU3" s="1128" t="s">
        <v>1263</v>
      </c>
      <c r="AW3" s="1128" t="s">
        <v>1264</v>
      </c>
      <c r="AX3" s="1128" t="s">
        <v>1264</v>
      </c>
      <c r="AZ3" s="1128" t="s">
        <v>1265</v>
      </c>
      <c r="BB3" s="1128" t="s">
        <v>1266</v>
      </c>
      <c r="BC3" s="1128" t="s">
        <v>1239</v>
      </c>
      <c r="BE3" s="1128">
        <v>2001</v>
      </c>
      <c r="BF3" s="1128" t="s">
        <v>1267</v>
      </c>
      <c r="BH3" s="1074" t="s">
        <v>1268</v>
      </c>
      <c r="BJ3" s="1074" t="s">
        <v>1269</v>
      </c>
      <c r="BL3" s="1074" t="s">
        <v>1270</v>
      </c>
      <c r="BN3" s="1074" t="s">
        <v>1271</v>
      </c>
      <c r="BR3" s="1074" t="s">
        <v>1272</v>
      </c>
      <c r="BS3" s="1458"/>
      <c r="BT3" s="1077"/>
      <c r="BU3" s="1074" t="s">
        <v>1273</v>
      </c>
      <c r="BV3" s="1077"/>
      <c r="BW3" s="1730"/>
      <c r="BX3" s="1732" t="s">
        <v>1274</v>
      </c>
      <c r="CA3" s="1074" t="s">
        <v>1275</v>
      </c>
    </row>
    <row customHeight="1" ht="11.25">
      <c r="A4" s="1081" t="s">
        <v>1276</v>
      </c>
      <c r="B4" s="1082">
        <v>2002</v>
      </c>
      <c r="C4" s="1082">
        <v>2024</v>
      </c>
      <c r="E4" s="1083" t="s">
        <v>1277</v>
      </c>
      <c r="F4" s="1083" t="s">
        <v>1278</v>
      </c>
      <c r="H4" s="1084" t="s">
        <v>1279</v>
      </c>
      <c r="I4" s="1083" t="s">
        <v>89</v>
      </c>
      <c r="J4" s="1083" t="s">
        <v>1280</v>
      </c>
      <c r="K4" s="1085" t="s">
        <v>1281</v>
      </c>
      <c r="L4" s="1086">
        <f>_xlfn.IFERROR(MATCH(K4,OFFER_METHOD,0),0)</f>
        <v>0</v>
      </c>
      <c r="M4" s="1085">
        <v>3</v>
      </c>
      <c r="N4" s="1170" t="s">
        <v>1282</v>
      </c>
      <c r="O4" s="1083" t="s">
        <v>1283</v>
      </c>
      <c r="Q4" s="1088" t="s">
        <v>1284</v>
      </c>
      <c r="R4" s="129" t="s">
        <v>1285</v>
      </c>
      <c r="S4" s="129" t="s">
        <v>1286</v>
      </c>
      <c r="T4" s="1089" t="s">
        <v>1287</v>
      </c>
      <c r="U4" s="1086" t="s">
        <v>1288</v>
      </c>
      <c r="V4" s="1090">
        <v>3</v>
      </c>
      <c r="W4" s="1091"/>
      <c r="X4" s="1091" t="s">
        <v>1289</v>
      </c>
      <c r="Y4" s="1082" t="s">
        <v>1229</v>
      </c>
      <c r="Z4" s="1098"/>
      <c r="AC4" s="1082" t="s">
        <v>1290</v>
      </c>
      <c r="AD4" s="1093" t="s">
        <v>1290</v>
      </c>
      <c r="AF4" s="1084" t="s">
        <v>1288</v>
      </c>
      <c r="AH4" s="1084" t="s">
        <v>1291</v>
      </c>
      <c r="AK4" s="1083" t="s">
        <v>1292</v>
      </c>
      <c r="AM4" s="1083" t="s">
        <v>1293</v>
      </c>
      <c r="AP4" s="1094" t="s">
        <v>1254</v>
      </c>
      <c r="AQ4" s="1095" t="s">
        <v>1254</v>
      </c>
      <c r="AS4" s="1082" t="s">
        <v>1294</v>
      </c>
      <c r="AU4" s="1128" t="s">
        <v>1295</v>
      </c>
      <c r="AW4" s="1128" t="s">
        <v>1296</v>
      </c>
      <c r="AX4" s="1128" t="s">
        <v>1296</v>
      </c>
      <c r="AZ4" s="1128" t="s">
        <v>1297</v>
      </c>
      <c r="BB4" s="1128" t="s">
        <v>1298</v>
      </c>
      <c r="BC4" s="1128" t="s">
        <v>1299</v>
      </c>
      <c r="BE4" s="1128">
        <v>2002</v>
      </c>
      <c r="BF4" s="1128" t="s">
        <v>1300</v>
      </c>
      <c r="BH4" s="1075" t="s">
        <v>1301</v>
      </c>
      <c r="BJ4" s="1075" t="s">
        <v>1301</v>
      </c>
      <c r="BL4" s="1075" t="s">
        <v>1301</v>
      </c>
      <c r="BN4" s="1075" t="s">
        <v>1301</v>
      </c>
      <c r="BQ4" s="1462" t="s">
        <v>1302</v>
      </c>
      <c r="BR4" s="1167" t="s">
        <v>1303</v>
      </c>
      <c r="BS4" s="260"/>
      <c r="BT4" s="1462" t="s">
        <v>1304</v>
      </c>
      <c r="BU4" s="1167" t="s">
        <v>1305</v>
      </c>
      <c r="BV4" s="1077"/>
      <c r="BW4" s="1737" t="s">
        <v>1306</v>
      </c>
      <c r="BX4" s="1731" t="s">
        <v>1307</v>
      </c>
      <c r="BZ4" s="1462" t="s">
        <v>1308</v>
      </c>
      <c r="CA4" s="1167" t="s">
        <v>1309</v>
      </c>
    </row>
    <row customHeight="1" ht="11.25">
      <c r="A5" s="1081" t="s">
        <v>1310</v>
      </c>
      <c r="B5" s="1082">
        <v>2003</v>
      </c>
      <c r="C5" s="1082">
        <v>2025</v>
      </c>
      <c r="E5" s="1083" t="s">
        <v>1311</v>
      </c>
      <c r="F5" s="1083" t="s">
        <v>1312</v>
      </c>
      <c r="H5" s="1084" t="s">
        <v>1313</v>
      </c>
      <c r="I5" s="1083" t="s">
        <v>90</v>
      </c>
      <c r="K5" s="1085" t="s">
        <v>1314</v>
      </c>
      <c r="L5" s="1086">
        <f>_xlfn.IFERROR(MATCH(K5,OFFER_METHOD,0),0)</f>
        <v>0</v>
      </c>
      <c r="M5" s="1085">
        <v>4</v>
      </c>
      <c r="N5" s="1099" t="s">
        <v>1315</v>
      </c>
      <c r="O5" s="1083" t="s">
        <v>1316</v>
      </c>
      <c r="Q5" s="1088" t="s">
        <v>1317</v>
      </c>
      <c r="R5" s="129" t="s">
        <v>443</v>
      </c>
      <c r="T5" s="1084" t="s">
        <v>1318</v>
      </c>
      <c r="U5" s="1086" t="s">
        <v>1319</v>
      </c>
      <c r="V5" s="1090">
        <v>4</v>
      </c>
      <c r="W5" s="1091"/>
      <c r="X5" s="1091" t="s">
        <v>171</v>
      </c>
      <c r="Y5" s="1082" t="s">
        <v>1320</v>
      </c>
      <c r="Z5" s="1098">
        <v>1</v>
      </c>
      <c r="AF5" s="1084" t="s">
        <v>1321</v>
      </c>
      <c r="AH5" s="1083" t="s">
        <v>1322</v>
      </c>
      <c r="AK5" s="1083" t="s">
        <v>1323</v>
      </c>
      <c r="AM5" s="1083" t="s">
        <v>1324</v>
      </c>
      <c r="AP5" s="1094" t="s">
        <v>171</v>
      </c>
      <c r="AQ5" s="1095" t="s">
        <v>171</v>
      </c>
      <c r="AU5" s="1128" t="s">
        <v>1325</v>
      </c>
      <c r="AW5" s="1128" t="s">
        <v>1326</v>
      </c>
      <c r="AX5" s="1128" t="s">
        <v>1326</v>
      </c>
      <c r="AZ5" s="1128" t="s">
        <v>1327</v>
      </c>
      <c r="BB5" s="1128" t="s">
        <v>1328</v>
      </c>
      <c r="BC5" s="1128" t="s">
        <v>1329</v>
      </c>
      <c r="BE5" s="1128">
        <v>2003</v>
      </c>
      <c r="BF5" s="1128" t="s">
        <v>1330</v>
      </c>
      <c r="BH5" s="1075" t="s">
        <v>1331</v>
      </c>
      <c r="BJ5" s="1075" t="s">
        <v>1331</v>
      </c>
      <c r="BL5" s="1075" t="s">
        <v>1331</v>
      </c>
      <c r="BN5" s="1075" t="s">
        <v>1332</v>
      </c>
      <c r="BQ5" s="1311">
        <v>4213775</v>
      </c>
      <c r="BR5" s="1075" t="s">
        <v>1228</v>
      </c>
      <c r="BS5" s="1459"/>
      <c r="BT5" s="1311">
        <v>64236871</v>
      </c>
      <c r="BU5" s="1075" t="s">
        <v>220</v>
      </c>
      <c r="BV5" s="1077"/>
      <c r="BW5" s="1735">
        <v>4213767</v>
      </c>
      <c r="BX5" s="1733" t="s">
        <v>1333</v>
      </c>
      <c r="BZ5" s="1311">
        <v>64237509</v>
      </c>
      <c r="CA5" s="1325" t="s">
        <v>1334</v>
      </c>
    </row>
    <row customHeight="1" ht="11.25">
      <c r="A6" s="1081" t="s">
        <v>1335</v>
      </c>
      <c r="B6" s="1082">
        <v>2004</v>
      </c>
      <c r="C6" s="1082">
        <v>2026</v>
      </c>
      <c r="E6" s="1083" t="s">
        <v>1336</v>
      </c>
      <c r="F6" s="1100"/>
      <c r="H6" s="1084" t="s">
        <v>1337</v>
      </c>
      <c r="I6" s="1083" t="s">
        <v>110</v>
      </c>
      <c r="J6" s="1074" t="s">
        <v>1338</v>
      </c>
      <c r="L6" s="1086">
        <f>SUM(kind_of_control_method_filter)</f>
        <v>0</v>
      </c>
      <c r="N6" s="1099" t="s">
        <v>1339</v>
      </c>
      <c r="O6" s="1083" t="s">
        <v>1340</v>
      </c>
      <c r="R6" s="129" t="s">
        <v>440</v>
      </c>
      <c r="T6" s="1084" t="s">
        <v>1341</v>
      </c>
      <c r="U6" s="1086" t="s">
        <v>1321</v>
      </c>
      <c r="V6" s="1090">
        <v>5</v>
      </c>
      <c r="W6" s="1091"/>
      <c r="X6" s="1082" t="s">
        <v>177</v>
      </c>
      <c r="Y6" s="1082" t="s">
        <v>1342</v>
      </c>
      <c r="Z6" s="1098"/>
      <c r="AA6" s="1101"/>
      <c r="AH6" s="1083" t="s">
        <v>1343</v>
      </c>
      <c r="AK6" s="1083" t="s">
        <v>1344</v>
      </c>
      <c r="AM6" s="1083" t="s">
        <v>1345</v>
      </c>
      <c r="AP6" s="1094" t="s">
        <v>177</v>
      </c>
      <c r="AQ6" s="1095" t="s">
        <v>177</v>
      </c>
      <c r="AU6" s="1128" t="s">
        <v>1346</v>
      </c>
      <c r="AW6" s="1128" t="s">
        <v>1347</v>
      </c>
      <c r="AX6" s="1128" t="s">
        <v>1347</v>
      </c>
      <c r="BB6" s="1128" t="s">
        <v>1348</v>
      </c>
      <c r="BC6" s="1128" t="s">
        <v>1329</v>
      </c>
      <c r="BE6" s="1128">
        <v>2004</v>
      </c>
      <c r="BF6" s="1128" t="s">
        <v>1349</v>
      </c>
      <c r="BH6" s="1075" t="s">
        <v>1350</v>
      </c>
      <c r="BJ6" s="1075" t="s">
        <v>1351</v>
      </c>
      <c r="BL6" s="1075" t="s">
        <v>1351</v>
      </c>
      <c r="BN6" s="1075" t="s">
        <v>1352</v>
      </c>
      <c r="BQ6" s="1311">
        <v>4213784</v>
      </c>
      <c r="BR6" s="1325" t="s">
        <v>1261</v>
      </c>
      <c r="BS6" s="1460"/>
      <c r="BT6" s="1311">
        <v>64236872</v>
      </c>
      <c r="BU6" s="1075" t="s">
        <v>225</v>
      </c>
      <c r="BV6" s="1077"/>
      <c r="BW6" s="1735">
        <v>4213768</v>
      </c>
      <c r="BX6" s="1733" t="s">
        <v>245</v>
      </c>
      <c r="BZ6" s="1311">
        <v>64237510</v>
      </c>
      <c r="CA6" s="1075" t="s">
        <v>1353</v>
      </c>
    </row>
    <row customHeight="1" ht="11.25">
      <c r="A7" s="1081" t="s">
        <v>1354</v>
      </c>
      <c r="B7" s="1082">
        <v>2005</v>
      </c>
      <c r="E7" s="1083" t="s">
        <v>1355</v>
      </c>
      <c r="F7" s="1100"/>
      <c r="H7" s="1084" t="s">
        <v>1356</v>
      </c>
      <c r="I7" s="1083" t="s">
        <v>91</v>
      </c>
      <c r="J7" s="1083" t="s">
        <v>1357</v>
      </c>
      <c r="N7" s="1103" t="s">
        <v>1358</v>
      </c>
      <c r="O7" s="1083" t="s">
        <v>1359</v>
      </c>
      <c r="U7" s="1086" t="s">
        <v>56</v>
      </c>
      <c r="V7" s="370" t="s">
        <v>91</v>
      </c>
      <c r="W7" s="1091"/>
      <c r="X7" s="1082" t="s">
        <v>183</v>
      </c>
      <c r="Y7" s="1082" t="s">
        <v>1320</v>
      </c>
      <c r="Z7" s="1098"/>
      <c r="AA7" s="1101"/>
      <c r="AH7" s="1083" t="s">
        <v>1360</v>
      </c>
      <c r="AK7" s="1083" t="s">
        <v>1361</v>
      </c>
      <c r="AM7" s="1083" t="s">
        <v>1362</v>
      </c>
      <c r="AP7" s="1094" t="s">
        <v>183</v>
      </c>
      <c r="AQ7" s="1095" t="s">
        <v>183</v>
      </c>
      <c r="AU7" s="1128" t="s">
        <v>1363</v>
      </c>
      <c r="AW7" s="1128" t="s">
        <v>1364</v>
      </c>
      <c r="AX7" s="1128" t="s">
        <v>1364</v>
      </c>
      <c r="AZ7" s="1074" t="s">
        <v>1365</v>
      </c>
      <c r="BB7" s="1128" t="s">
        <v>1366</v>
      </c>
      <c r="BC7" s="1128" t="s">
        <v>1329</v>
      </c>
      <c r="BE7" s="1128">
        <v>2005</v>
      </c>
      <c r="BF7" s="1128" t="s">
        <v>1367</v>
      </c>
      <c r="BH7" s="1075" t="s">
        <v>1368</v>
      </c>
      <c r="BJ7" s="1075" t="s">
        <v>1350</v>
      </c>
      <c r="BL7" s="1075" t="s">
        <v>1350</v>
      </c>
      <c r="BN7" s="1075" t="s">
        <v>1369</v>
      </c>
      <c r="BQ7" s="1311">
        <v>4213781</v>
      </c>
      <c r="BR7" s="1075" t="s">
        <v>1254</v>
      </c>
      <c r="BS7" s="1459"/>
      <c r="BT7" s="1311">
        <v>64236873</v>
      </c>
      <c r="BU7" s="1075" t="s">
        <v>230</v>
      </c>
      <c r="BV7" s="1077"/>
      <c r="BW7" s="1735">
        <v>4213769</v>
      </c>
      <c r="BX7" s="1733" t="s">
        <v>1370</v>
      </c>
      <c r="BZ7" s="1311">
        <v>64237511</v>
      </c>
      <c r="CA7" s="1075" t="s">
        <v>260</v>
      </c>
    </row>
    <row customHeight="1" ht="11.25">
      <c r="A8" s="1081" t="s">
        <v>1371</v>
      </c>
      <c r="B8" s="1082">
        <v>2006</v>
      </c>
      <c r="E8" s="1083" t="s">
        <v>1372</v>
      </c>
      <c r="F8" s="1100"/>
      <c r="I8" s="1083" t="s">
        <v>92</v>
      </c>
      <c r="J8" s="1083" t="s">
        <v>1373</v>
      </c>
      <c r="N8" s="1171" t="s">
        <v>1374</v>
      </c>
      <c r="O8" s="1083" t="s">
        <v>1375</v>
      </c>
      <c r="V8" s="370" t="s">
        <v>92</v>
      </c>
      <c r="W8" s="1091"/>
      <c r="X8" s="1082" t="s">
        <v>189</v>
      </c>
      <c r="Y8" s="1082" t="s">
        <v>1320</v>
      </c>
      <c r="Z8" s="1098"/>
      <c r="AA8" s="1101"/>
      <c r="AK8" s="1083" t="s">
        <v>1376</v>
      </c>
      <c r="AP8" s="1094" t="s">
        <v>189</v>
      </c>
      <c r="AQ8" s="1095" t="s">
        <v>189</v>
      </c>
      <c r="AU8" s="1128" t="s">
        <v>1377</v>
      </c>
      <c r="AW8" s="1128" t="s">
        <v>1378</v>
      </c>
      <c r="AX8" s="1128" t="s">
        <v>1378</v>
      </c>
      <c r="AZ8" s="1128" t="s">
        <v>1379</v>
      </c>
      <c r="BB8" s="1128" t="s">
        <v>1380</v>
      </c>
      <c r="BC8" s="1128" t="s">
        <v>1329</v>
      </c>
      <c r="BE8" s="1128">
        <v>2006</v>
      </c>
      <c r="BF8" s="1128" t="s">
        <v>1381</v>
      </c>
      <c r="BH8" s="1075" t="s">
        <v>1382</v>
      </c>
      <c r="BJ8" s="1075" t="s">
        <v>1383</v>
      </c>
      <c r="BL8" s="1075" t="s">
        <v>1383</v>
      </c>
      <c r="BN8" s="1075" t="s">
        <v>1384</v>
      </c>
      <c r="BQ8" s="1311">
        <v>4213776</v>
      </c>
      <c r="BR8" s="1075" t="s">
        <v>171</v>
      </c>
      <c r="BS8" s="1459"/>
      <c r="BT8" s="1311">
        <v>64236874</v>
      </c>
      <c r="BU8" s="1325" t="s">
        <v>1385</v>
      </c>
      <c r="BV8" s="1077"/>
      <c r="BW8" s="1735">
        <v>4213770</v>
      </c>
      <c r="BX8" s="1736" t="s">
        <v>1386</v>
      </c>
      <c r="BZ8" s="1311">
        <v>64237512</v>
      </c>
      <c r="CA8" s="1075" t="s">
        <v>255</v>
      </c>
    </row>
    <row customHeight="1" ht="11.25">
      <c r="A9" s="1081" t="s">
        <v>1387</v>
      </c>
      <c r="B9" s="1082">
        <v>2007</v>
      </c>
      <c r="E9" s="1083" t="s">
        <v>1388</v>
      </c>
      <c r="F9" s="1100"/>
      <c r="G9" s="1074" t="s">
        <v>1389</v>
      </c>
      <c r="H9" s="1074" t="s">
        <v>1390</v>
      </c>
      <c r="I9" s="1083" t="s">
        <v>111</v>
      </c>
      <c r="O9" s="1083" t="s">
        <v>1391</v>
      </c>
      <c r="V9" s="370" t="s">
        <v>111</v>
      </c>
      <c r="W9" s="1091"/>
      <c r="X9" s="1082" t="s">
        <v>195</v>
      </c>
      <c r="Y9" s="1082" t="s">
        <v>1229</v>
      </c>
      <c r="Z9" s="1098">
        <v>1</v>
      </c>
      <c r="AA9" s="1101"/>
      <c r="AK9" s="1083" t="s">
        <v>1392</v>
      </c>
      <c r="AP9" s="1094" t="s">
        <v>1393</v>
      </c>
      <c r="AQ9" s="1095" t="s">
        <v>1393</v>
      </c>
      <c r="AW9" s="1128" t="s">
        <v>1394</v>
      </c>
      <c r="AX9" s="1128" t="s">
        <v>1394</v>
      </c>
      <c r="AZ9" s="1128" t="s">
        <v>1395</v>
      </c>
      <c r="BB9" s="1128" t="s">
        <v>1396</v>
      </c>
      <c r="BC9" s="1128" t="s">
        <v>1329</v>
      </c>
      <c r="BE9" s="1128">
        <v>2007</v>
      </c>
      <c r="BF9" s="1128" t="s">
        <v>1397</v>
      </c>
      <c r="BH9" s="1075" t="s">
        <v>1398</v>
      </c>
      <c r="BJ9" s="1075" t="s">
        <v>1399</v>
      </c>
      <c r="BL9" s="1075" t="s">
        <v>1399</v>
      </c>
      <c r="BN9" s="1075" t="s">
        <v>1400</v>
      </c>
      <c r="BQ9" s="1311">
        <v>4213777</v>
      </c>
      <c r="BR9" s="1075" t="s">
        <v>177</v>
      </c>
      <c r="BS9" s="1459"/>
      <c r="BT9" s="1311">
        <v>64236875</v>
      </c>
      <c r="BU9" s="1075" t="s">
        <v>235</v>
      </c>
      <c r="BV9" s="1077"/>
      <c r="BW9" s="1730"/>
      <c r="BX9" s="1730"/>
    </row>
    <row customHeight="1" ht="11.25">
      <c r="A10" s="1081" t="s">
        <v>1401</v>
      </c>
      <c r="B10" s="1082">
        <v>2008</v>
      </c>
      <c r="E10" s="1083" t="s">
        <v>1402</v>
      </c>
      <c r="F10" s="1100"/>
      <c r="G10" s="1083" t="s">
        <v>1403</v>
      </c>
      <c r="H10" s="1083" t="s">
        <v>1404</v>
      </c>
      <c r="I10" s="1083" t="s">
        <v>147</v>
      </c>
      <c r="J10" s="1074" t="s">
        <v>1405</v>
      </c>
      <c r="K10" s="1074" t="s">
        <v>1406</v>
      </c>
      <c r="O10" s="1083" t="s">
        <v>1407</v>
      </c>
      <c r="V10" s="371" t="s">
        <v>147</v>
      </c>
      <c r="W10" s="1104"/>
      <c r="X10" s="1104" t="s">
        <v>1408</v>
      </c>
      <c r="Y10" s="1105" t="s">
        <v>1409</v>
      </c>
      <c r="Z10" s="1098"/>
      <c r="AP10" s="1094" t="s">
        <v>1408</v>
      </c>
      <c r="AQ10" s="1095" t="s">
        <v>1408</v>
      </c>
      <c r="AW10" s="1128" t="s">
        <v>1410</v>
      </c>
      <c r="AX10" s="1128" t="s">
        <v>1410</v>
      </c>
      <c r="AZ10" s="1128" t="s">
        <v>1411</v>
      </c>
      <c r="BB10" s="1128" t="s">
        <v>1412</v>
      </c>
      <c r="BC10" s="1128" t="s">
        <v>1329</v>
      </c>
      <c r="BE10" s="1128">
        <v>2008</v>
      </c>
      <c r="BF10" s="1128" t="s">
        <v>1413</v>
      </c>
      <c r="BH10" s="1075" t="s">
        <v>1414</v>
      </c>
      <c r="BJ10" s="1075" t="s">
        <v>1415</v>
      </c>
      <c r="BL10" s="1075" t="s">
        <v>1415</v>
      </c>
      <c r="BN10" s="1075" t="s">
        <v>1416</v>
      </c>
      <c r="BQ10" s="1311">
        <v>4213778</v>
      </c>
      <c r="BR10" s="1075" t="s">
        <v>183</v>
      </c>
      <c r="BS10" s="1459"/>
      <c r="BT10" s="1311">
        <v>64236876</v>
      </c>
      <c r="BU10" s="1075" t="s">
        <v>215</v>
      </c>
      <c r="BV10" s="1077"/>
      <c r="BW10" s="1730"/>
      <c r="BX10" s="1730"/>
    </row>
    <row customHeight="1" ht="11.25">
      <c r="A11" s="1081" t="s">
        <v>1417</v>
      </c>
      <c r="B11" s="1082">
        <v>2009</v>
      </c>
      <c r="E11" s="1083" t="s">
        <v>1418</v>
      </c>
      <c r="F11" s="1100"/>
      <c r="G11" s="1083" t="s">
        <v>1419</v>
      </c>
      <c r="H11" s="1083" t="s">
        <v>1420</v>
      </c>
      <c r="I11" s="1083" t="s">
        <v>148</v>
      </c>
      <c r="J11" s="1084" t="s">
        <v>1421</v>
      </c>
      <c r="K11" s="1106" t="s">
        <v>1422</v>
      </c>
      <c r="O11" s="1084" t="s">
        <v>1423</v>
      </c>
      <c r="V11" s="370" t="s">
        <v>148</v>
      </c>
      <c r="W11" s="261"/>
      <c r="X11" s="1091" t="s">
        <v>1393</v>
      </c>
      <c r="Y11" s="1082" t="s">
        <v>1424</v>
      </c>
      <c r="Z11" s="1098"/>
      <c r="AP11" s="1094" t="s">
        <v>195</v>
      </c>
      <c r="AQ11" s="1096" t="s">
        <v>195</v>
      </c>
      <c r="AW11" s="1128" t="s">
        <v>1425</v>
      </c>
      <c r="AX11" s="1128" t="s">
        <v>1425</v>
      </c>
      <c r="AZ11" s="1128" t="s">
        <v>1426</v>
      </c>
      <c r="BB11" s="1128" t="s">
        <v>1427</v>
      </c>
      <c r="BC11" s="1128" t="s">
        <v>1329</v>
      </c>
      <c r="BE11" s="1128">
        <v>2009</v>
      </c>
      <c r="BF11" s="1128" t="s">
        <v>1428</v>
      </c>
      <c r="BH11" s="1075" t="s">
        <v>1429</v>
      </c>
      <c r="BJ11" s="1075" t="s">
        <v>1398</v>
      </c>
      <c r="BL11" s="1075" t="s">
        <v>1398</v>
      </c>
      <c r="BN11" s="1075" t="s">
        <v>1430</v>
      </c>
      <c r="BQ11" s="1311">
        <v>4213780</v>
      </c>
      <c r="BR11" s="1075" t="s">
        <v>189</v>
      </c>
      <c r="BS11" s="1459"/>
      <c r="BW11" s="1730"/>
      <c r="BX11" s="1730"/>
    </row>
    <row customHeight="1" ht="11.25">
      <c r="A12" s="1081" t="s">
        <v>1431</v>
      </c>
      <c r="B12" s="1082">
        <v>2010</v>
      </c>
      <c r="E12" s="1083" t="s">
        <v>1432</v>
      </c>
      <c r="F12" s="1100"/>
      <c r="G12" s="1083" t="s">
        <v>1420</v>
      </c>
      <c r="I12" s="1083" t="s">
        <v>149</v>
      </c>
      <c r="J12" s="1084" t="s">
        <v>1433</v>
      </c>
      <c r="K12" s="1106" t="s">
        <v>1434</v>
      </c>
      <c r="O12" s="1084" t="s">
        <v>440</v>
      </c>
      <c r="V12" s="370" t="s">
        <v>149</v>
      </c>
      <c r="W12" s="1096"/>
      <c r="X12" s="1091" t="s">
        <v>1435</v>
      </c>
      <c r="Y12" s="1082" t="s">
        <v>1229</v>
      </c>
      <c r="AP12" s="1094"/>
      <c r="AW12" s="1128" t="s">
        <v>148</v>
      </c>
      <c r="AX12" s="1128" t="s">
        <v>148</v>
      </c>
      <c r="AZ12" s="1128" t="s">
        <v>1436</v>
      </c>
      <c r="BB12" s="1128" t="s">
        <v>1437</v>
      </c>
      <c r="BC12" s="1128" t="s">
        <v>1329</v>
      </c>
      <c r="BE12" s="1128">
        <v>2010</v>
      </c>
      <c r="BF12" s="1128" t="s">
        <v>1438</v>
      </c>
      <c r="BH12" s="1075" t="s">
        <v>1439</v>
      </c>
      <c r="BJ12" s="1075" t="s">
        <v>1440</v>
      </c>
      <c r="BL12" s="1075" t="s">
        <v>1440</v>
      </c>
      <c r="BN12" s="1075" t="s">
        <v>1441</v>
      </c>
      <c r="BQ12" s="1311">
        <v>4213779</v>
      </c>
      <c r="BR12" s="1075" t="s">
        <v>1393</v>
      </c>
      <c r="BS12" s="1459"/>
      <c r="BT12" s="1077"/>
      <c r="BU12" s="1077"/>
      <c r="BV12" s="1077"/>
      <c r="BW12" s="1730"/>
      <c r="BX12" s="1730"/>
    </row>
    <row customHeight="1" ht="11.25">
      <c r="A13" s="1081" t="s">
        <v>1442</v>
      </c>
      <c r="B13" s="1082">
        <v>2011</v>
      </c>
      <c r="E13" s="1083" t="s">
        <v>1443</v>
      </c>
      <c r="F13" s="1100"/>
      <c r="I13" s="1083" t="s">
        <v>150</v>
      </c>
      <c r="K13" s="1106" t="s">
        <v>1392</v>
      </c>
      <c r="V13" s="370" t="s">
        <v>150</v>
      </c>
      <c r="W13" s="1096"/>
      <c r="X13" s="1096"/>
      <c r="Y13" s="1096"/>
      <c r="AW13" s="1128" t="s">
        <v>149</v>
      </c>
      <c r="AX13" s="1128" t="s">
        <v>149</v>
      </c>
      <c r="BB13" s="1128" t="s">
        <v>1444</v>
      </c>
      <c r="BC13" s="1128" t="s">
        <v>1445</v>
      </c>
      <c r="BE13" s="1128">
        <v>2011</v>
      </c>
      <c r="BF13" s="1128" t="s">
        <v>1446</v>
      </c>
      <c r="BH13" s="1075" t="s">
        <v>1447</v>
      </c>
      <c r="BJ13" s="1075" t="s">
        <v>1429</v>
      </c>
      <c r="BL13" s="1075" t="s">
        <v>1429</v>
      </c>
      <c r="BN13" s="1075" t="s">
        <v>1448</v>
      </c>
      <c r="BQ13" s="1311">
        <v>4213783</v>
      </c>
      <c r="BR13" s="1075" t="s">
        <v>1408</v>
      </c>
      <c r="BS13" s="1459"/>
      <c r="BT13" s="1077"/>
      <c r="BU13" s="1077"/>
      <c r="BV13" s="1077"/>
      <c r="BW13" s="1734"/>
      <c r="BX13" s="1730"/>
    </row>
    <row customHeight="1" ht="11.25">
      <c r="A14" s="1081" t="s">
        <v>1449</v>
      </c>
      <c r="B14" s="1082">
        <v>2012</v>
      </c>
      <c r="I14" s="1083" t="s">
        <v>151</v>
      </c>
      <c r="J14" s="1074" t="s">
        <v>1450</v>
      </c>
      <c r="N14" s="1074" t="s">
        <v>1451</v>
      </c>
      <c r="V14" s="1090">
        <v>13</v>
      </c>
      <c r="W14" s="1091"/>
      <c r="X14" s="1091" t="s">
        <v>1261</v>
      </c>
      <c r="Y14" s="1082" t="s">
        <v>1229</v>
      </c>
      <c r="AW14" s="1128" t="s">
        <v>150</v>
      </c>
      <c r="AX14" s="1128" t="s">
        <v>150</v>
      </c>
      <c r="AZ14" s="1074" t="s">
        <v>1452</v>
      </c>
      <c r="BB14" s="1128" t="s">
        <v>1453</v>
      </c>
      <c r="BC14" s="1128" t="s">
        <v>1445</v>
      </c>
      <c r="BE14" s="1128">
        <v>2012</v>
      </c>
      <c r="BH14" s="1075" t="s">
        <v>1369</v>
      </c>
      <c r="BJ14" s="1229" t="s">
        <v>1454</v>
      </c>
      <c r="BL14" s="1229" t="s">
        <v>1454</v>
      </c>
      <c r="BN14" s="1075" t="s">
        <v>1455</v>
      </c>
      <c r="BQ14" s="1311">
        <v>4213782</v>
      </c>
      <c r="BR14" s="1075" t="s">
        <v>195</v>
      </c>
      <c r="BS14" s="1459"/>
      <c r="BT14" s="1077"/>
      <c r="BU14" s="1077"/>
      <c r="BV14" s="1077"/>
      <c r="BW14" s="1734"/>
      <c r="BX14" s="1730"/>
    </row>
    <row customHeight="1" ht="19.5">
      <c r="A15" s="1081" t="s">
        <v>1456</v>
      </c>
      <c r="B15" s="1082">
        <v>2013</v>
      </c>
      <c r="E15" s="1738" t="s">
        <v>1457</v>
      </c>
      <c r="G15" s="1074" t="s">
        <v>1458</v>
      </c>
      <c r="H15" s="1074" t="s">
        <v>1459</v>
      </c>
      <c r="I15" s="1085" t="s">
        <v>152</v>
      </c>
      <c r="J15" s="1096" t="s">
        <v>570</v>
      </c>
      <c r="N15" s="1166" t="s">
        <v>1460</v>
      </c>
      <c r="X15" s="1094"/>
      <c r="AW15" s="1128" t="s">
        <v>151</v>
      </c>
      <c r="AX15" s="1128" t="s">
        <v>151</v>
      </c>
      <c r="AZ15" s="1128" t="s">
        <v>1379</v>
      </c>
      <c r="BB15" s="1128" t="s">
        <v>1461</v>
      </c>
      <c r="BC15" s="1128" t="s">
        <v>1445</v>
      </c>
      <c r="BE15" s="1128">
        <v>2013</v>
      </c>
      <c r="BH15" s="1075" t="s">
        <v>1384</v>
      </c>
      <c r="BJ15" s="1229" t="s">
        <v>1462</v>
      </c>
      <c r="BL15" s="1229" t="s">
        <v>1462</v>
      </c>
      <c r="BN15" s="1075" t="s">
        <v>1463</v>
      </c>
      <c r="BR15" s="1077"/>
      <c r="BS15" s="1461"/>
      <c r="BT15" s="1077"/>
      <c r="BU15" s="1077"/>
      <c r="BV15" s="1077"/>
      <c r="BW15" s="1734"/>
      <c r="BX15" s="1730"/>
    </row>
    <row customHeight="1" ht="21">
      <c r="A16" s="1913" t="s">
        <v>1464</v>
      </c>
      <c r="B16" s="1082">
        <v>2014</v>
      </c>
      <c r="E16" s="1739" t="s">
        <v>1465</v>
      </c>
      <c r="G16" s="1083" t="s">
        <v>1466</v>
      </c>
      <c r="H16" s="1083" t="s">
        <v>1467</v>
      </c>
      <c r="I16" s="1085" t="s">
        <v>1468</v>
      </c>
      <c r="J16" s="1096" t="s">
        <v>543</v>
      </c>
      <c r="N16" s="1166" t="s">
        <v>1469</v>
      </c>
      <c r="AW16" s="1128" t="s">
        <v>152</v>
      </c>
      <c r="AX16" s="1128" t="s">
        <v>152</v>
      </c>
      <c r="AZ16" s="1128" t="s">
        <v>1395</v>
      </c>
      <c r="BB16" s="1128" t="s">
        <v>1470</v>
      </c>
      <c r="BC16" s="1128" t="s">
        <v>1445</v>
      </c>
      <c r="BE16" s="1128">
        <v>2014</v>
      </c>
      <c r="BH16" s="1075" t="s">
        <v>1400</v>
      </c>
      <c r="BJ16" s="1229" t="s">
        <v>1471</v>
      </c>
      <c r="BL16" s="1229" t="s">
        <v>1471</v>
      </c>
      <c r="BN16" s="1075" t="s">
        <v>1472</v>
      </c>
      <c r="BR16" s="1077"/>
      <c r="BS16" s="1461"/>
      <c r="BT16" s="1077"/>
      <c r="BU16" s="1077"/>
      <c r="BV16" s="1077"/>
      <c r="BW16" s="1734"/>
      <c r="BX16" s="1730"/>
    </row>
    <row customHeight="1" ht="21">
      <c r="A17" s="1081" t="s">
        <v>1473</v>
      </c>
      <c r="B17" s="1082">
        <v>2015</v>
      </c>
      <c r="G17" s="1083" t="s">
        <v>1420</v>
      </c>
      <c r="H17" s="1083" t="s">
        <v>1420</v>
      </c>
      <c r="I17" s="1083" t="s">
        <v>1474</v>
      </c>
      <c r="N17" s="1166" t="s">
        <v>1475</v>
      </c>
      <c r="X17" s="1094"/>
      <c r="AW17" s="1128" t="s">
        <v>1468</v>
      </c>
      <c r="AX17" s="1128" t="s">
        <v>1468</v>
      </c>
      <c r="AZ17" s="1128" t="s">
        <v>1476</v>
      </c>
      <c r="BB17" s="1128" t="s">
        <v>1477</v>
      </c>
      <c r="BC17" s="1128" t="s">
        <v>1329</v>
      </c>
      <c r="BE17" s="1128">
        <v>2015</v>
      </c>
      <c r="BH17" s="1075" t="s">
        <v>1416</v>
      </c>
      <c r="BJ17" s="1229" t="s">
        <v>1478</v>
      </c>
      <c r="BL17" s="1229" t="s">
        <v>1478</v>
      </c>
      <c r="BN17" s="1075" t="s">
        <v>1479</v>
      </c>
      <c r="BR17" s="1074" t="s">
        <v>1272</v>
      </c>
      <c r="BS17" s="1458"/>
      <c r="BU17" s="1074" t="s">
        <v>1480</v>
      </c>
      <c r="BV17" s="1077"/>
      <c r="BW17" s="1730"/>
      <c r="BX17" s="1732" t="s">
        <v>1481</v>
      </c>
      <c r="CA17" s="1074" t="s">
        <v>1482</v>
      </c>
      <c r="CD17" s="1074" t="s">
        <v>1483</v>
      </c>
    </row>
    <row customHeight="1" ht="21">
      <c r="A18" s="1081" t="s">
        <v>1484</v>
      </c>
      <c r="B18" s="1082">
        <v>2016</v>
      </c>
      <c r="I18" s="1083" t="s">
        <v>1485</v>
      </c>
      <c r="N18" s="1166" t="s">
        <v>1486</v>
      </c>
      <c r="X18" s="1094"/>
      <c r="AW18" s="1128" t="s">
        <v>1474</v>
      </c>
      <c r="AX18" s="1128" t="s">
        <v>1474</v>
      </c>
      <c r="BB18" s="1128" t="s">
        <v>1487</v>
      </c>
      <c r="BC18" s="1128" t="s">
        <v>1329</v>
      </c>
      <c r="BE18" s="1128">
        <v>2016</v>
      </c>
      <c r="BH18" s="1075" t="s">
        <v>1430</v>
      </c>
      <c r="BJ18" s="1229" t="s">
        <v>1488</v>
      </c>
      <c r="BL18" s="1229" t="s">
        <v>1488</v>
      </c>
      <c r="BN18" s="1075" t="s">
        <v>1489</v>
      </c>
      <c r="BQ18" s="1462" t="s">
        <v>1302</v>
      </c>
      <c r="BR18" s="1167" t="s">
        <v>1303</v>
      </c>
      <c r="BS18" s="260"/>
      <c r="BT18" s="1462" t="s">
        <v>1490</v>
      </c>
      <c r="BU18" s="1167" t="s">
        <v>1491</v>
      </c>
      <c r="BV18" s="1077"/>
      <c r="BW18" s="1737" t="s">
        <v>1492</v>
      </c>
      <c r="BX18" s="1731" t="s">
        <v>1493</v>
      </c>
      <c r="BZ18" s="1462" t="s">
        <v>1494</v>
      </c>
      <c r="CA18" s="1167" t="s">
        <v>1495</v>
      </c>
      <c r="CC18" s="1462" t="s">
        <v>1496</v>
      </c>
      <c r="CD18" s="1167" t="s">
        <v>1497</v>
      </c>
    </row>
    <row customHeight="1" ht="21">
      <c r="A19" s="1913" t="s">
        <v>1498</v>
      </c>
      <c r="B19" s="1082">
        <v>2017</v>
      </c>
      <c r="I19" s="1083" t="s">
        <v>1499</v>
      </c>
      <c r="N19" s="1166" t="s">
        <v>1500</v>
      </c>
      <c r="X19" s="1094"/>
      <c r="AW19" s="1128" t="s">
        <v>1485</v>
      </c>
      <c r="AX19" s="1128" t="s">
        <v>1485</v>
      </c>
      <c r="AZ19" s="1074" t="s">
        <v>1501</v>
      </c>
      <c r="BB19" s="1128" t="s">
        <v>1502</v>
      </c>
      <c r="BC19" s="1128" t="s">
        <v>1329</v>
      </c>
      <c r="BE19" s="1128">
        <v>2017</v>
      </c>
      <c r="BH19" s="1075" t="s">
        <v>1503</v>
      </c>
      <c r="BJ19" s="1229" t="s">
        <v>1504</v>
      </c>
      <c r="BL19" s="1229" t="s">
        <v>1504</v>
      </c>
      <c r="BQ19" s="1311">
        <v>4190064</v>
      </c>
      <c r="BR19" s="1075" t="s">
        <v>1505</v>
      </c>
      <c r="BS19" s="1459"/>
      <c r="BT19" s="1311">
        <v>4189671</v>
      </c>
      <c r="BU19" s="1075" t="s">
        <v>1506</v>
      </c>
      <c r="BV19" s="1077"/>
      <c r="BW19" s="1735">
        <v>4189706</v>
      </c>
      <c r="BX19" s="1733" t="s">
        <v>1507</v>
      </c>
      <c r="BZ19" s="1311">
        <v>4189714</v>
      </c>
      <c r="CA19" s="1075" t="s">
        <v>1508</v>
      </c>
      <c r="CC19" s="1311">
        <v>4189708</v>
      </c>
      <c r="CD19" s="1075" t="s">
        <v>1509</v>
      </c>
    </row>
    <row customHeight="1" ht="21">
      <c r="A20" s="1081" t="s">
        <v>1510</v>
      </c>
      <c r="B20" s="1082">
        <v>2018</v>
      </c>
      <c r="I20" s="1083" t="s">
        <v>1511</v>
      </c>
      <c r="N20" s="1166" t="s">
        <v>1512</v>
      </c>
      <c r="AW20" s="1128" t="s">
        <v>1499</v>
      </c>
      <c r="AX20" s="1128" t="s">
        <v>1499</v>
      </c>
      <c r="AZ20" s="1128" t="s">
        <v>1513</v>
      </c>
      <c r="BB20" s="1128" t="s">
        <v>1514</v>
      </c>
      <c r="BC20" s="1128" t="s">
        <v>1445</v>
      </c>
      <c r="BE20" s="1128">
        <v>2018</v>
      </c>
      <c r="BH20" s="1075" t="s">
        <v>1441</v>
      </c>
      <c r="BJ20" s="1075" t="s">
        <v>1369</v>
      </c>
      <c r="BL20" s="1075" t="s">
        <v>1369</v>
      </c>
      <c r="BQ20" s="1311">
        <v>4190065</v>
      </c>
      <c r="BR20" s="1075" t="s">
        <v>1515</v>
      </c>
      <c r="BS20" s="1459"/>
      <c r="BT20" s="1311">
        <v>4189672</v>
      </c>
      <c r="BU20" s="1075" t="s">
        <v>1516</v>
      </c>
      <c r="BV20" s="1077"/>
      <c r="BW20" s="1735">
        <v>4189705</v>
      </c>
      <c r="BX20" s="1733" t="s">
        <v>1517</v>
      </c>
      <c r="BZ20" s="1311">
        <v>4189713</v>
      </c>
      <c r="CA20" s="1075" t="s">
        <v>1517</v>
      </c>
      <c r="CC20" s="1311">
        <v>4189709</v>
      </c>
      <c r="CD20" s="1075" t="s">
        <v>1518</v>
      </c>
    </row>
    <row customHeight="1" ht="21">
      <c r="A21" s="1081" t="s">
        <v>1519</v>
      </c>
      <c r="B21" s="1082">
        <v>2019</v>
      </c>
      <c r="I21" s="1083" t="s">
        <v>1520</v>
      </c>
      <c r="N21" s="1166" t="s">
        <v>1521</v>
      </c>
      <c r="AW21" s="1128" t="s">
        <v>1511</v>
      </c>
      <c r="AX21" s="1128" t="s">
        <v>1511</v>
      </c>
      <c r="AZ21" s="1128" t="s">
        <v>1522</v>
      </c>
      <c r="BB21" s="1128" t="s">
        <v>1523</v>
      </c>
      <c r="BC21" s="1128" t="s">
        <v>1329</v>
      </c>
      <c r="BE21" s="1128">
        <v>2019</v>
      </c>
      <c r="BH21" s="1075" t="s">
        <v>1448</v>
      </c>
      <c r="BJ21" s="1075" t="s">
        <v>1384</v>
      </c>
      <c r="BL21" s="1075" t="s">
        <v>1384</v>
      </c>
      <c r="BQ21" s="1311">
        <v>4190066</v>
      </c>
      <c r="BR21" s="1075" t="s">
        <v>1524</v>
      </c>
      <c r="BS21" s="1459"/>
      <c r="BT21" s="1311">
        <v>4189673</v>
      </c>
      <c r="BU21" s="1075" t="s">
        <v>1525</v>
      </c>
      <c r="BV21" s="1077"/>
      <c r="BW21" s="1735">
        <v>4189707</v>
      </c>
      <c r="BX21" s="1733" t="s">
        <v>1526</v>
      </c>
      <c r="BZ21" s="1311">
        <v>4189712</v>
      </c>
      <c r="CA21" s="1075" t="s">
        <v>1527</v>
      </c>
      <c r="CC21" s="1311">
        <v>4189710</v>
      </c>
      <c r="CD21" s="1075" t="s">
        <v>1528</v>
      </c>
    </row>
    <row customHeight="1" ht="21">
      <c r="A22" s="1081" t="s">
        <v>1529</v>
      </c>
      <c r="B22" s="1082">
        <v>2020</v>
      </c>
      <c r="N22" s="1166" t="s">
        <v>1530</v>
      </c>
      <c r="AW22" s="1128" t="s">
        <v>1520</v>
      </c>
      <c r="AX22" s="1128" t="s">
        <v>1520</v>
      </c>
      <c r="AZ22" s="1128" t="s">
        <v>1531</v>
      </c>
      <c r="BB22" s="1128" t="s">
        <v>1532</v>
      </c>
      <c r="BC22" s="1128" t="s">
        <v>1329</v>
      </c>
      <c r="BE22" s="1128">
        <v>2020</v>
      </c>
      <c r="BH22" s="1075" t="s">
        <v>1455</v>
      </c>
      <c r="BJ22" s="1075" t="s">
        <v>1400</v>
      </c>
      <c r="BL22" s="1075" t="s">
        <v>1400</v>
      </c>
      <c r="BQ22" s="1311">
        <v>4190067</v>
      </c>
      <c r="BR22" s="1075" t="s">
        <v>1533</v>
      </c>
      <c r="BS22" s="1459"/>
      <c r="BT22" s="1311">
        <v>4189674</v>
      </c>
      <c r="BU22" s="1075" t="s">
        <v>1534</v>
      </c>
      <c r="BV22" s="1077"/>
      <c r="BW22" s="1077"/>
      <c r="CC22" s="1311">
        <v>4189711</v>
      </c>
      <c r="CD22" s="1075" t="s">
        <v>284</v>
      </c>
    </row>
    <row customHeight="1" ht="21">
      <c r="A23" s="1081" t="s">
        <v>1535</v>
      </c>
      <c r="B23" s="1082">
        <v>2021</v>
      </c>
      <c r="AW23" s="1128" t="s">
        <v>1536</v>
      </c>
      <c r="AX23" s="1128" t="s">
        <v>1536</v>
      </c>
      <c r="AZ23" s="1128" t="s">
        <v>1537</v>
      </c>
      <c r="BB23" s="1128" t="s">
        <v>1538</v>
      </c>
      <c r="BC23" s="1128" t="s">
        <v>1239</v>
      </c>
      <c r="BE23" s="1128">
        <v>2021</v>
      </c>
      <c r="BH23" s="1075" t="s">
        <v>1463</v>
      </c>
      <c r="BJ23" s="1075" t="s">
        <v>1416</v>
      </c>
      <c r="BL23" s="1075" t="s">
        <v>1416</v>
      </c>
      <c r="BQ23" s="1311">
        <v>4190068</v>
      </c>
      <c r="BR23" s="1075" t="s">
        <v>1539</v>
      </c>
      <c r="BS23" s="1459"/>
      <c r="BT23" s="1311">
        <v>4189675</v>
      </c>
      <c r="BU23" s="1075" t="s">
        <v>1540</v>
      </c>
      <c r="BV23" s="1077"/>
      <c r="BW23" s="1077"/>
      <c r="CC23" s="1311">
        <v>5110778</v>
      </c>
      <c r="CD23" s="1075" t="s">
        <v>1541</v>
      </c>
    </row>
    <row customHeight="1" ht="21">
      <c r="A24" s="1081" t="s">
        <v>1542</v>
      </c>
      <c r="B24" s="1082">
        <v>2022</v>
      </c>
      <c r="AW24" s="1128" t="s">
        <v>1543</v>
      </c>
      <c r="AX24" s="1128" t="s">
        <v>1543</v>
      </c>
      <c r="AZ24" s="1128" t="s">
        <v>1544</v>
      </c>
      <c r="BB24" s="1128" t="s">
        <v>1545</v>
      </c>
      <c r="BC24" s="1128" t="s">
        <v>1546</v>
      </c>
      <c r="BE24" s="1128">
        <v>2022</v>
      </c>
      <c r="BH24" s="1075" t="s">
        <v>1472</v>
      </c>
      <c r="BJ24" s="1075" t="s">
        <v>1430</v>
      </c>
      <c r="BL24" s="1075" t="s">
        <v>1430</v>
      </c>
      <c r="BQ24" s="1311">
        <v>4190069</v>
      </c>
      <c r="BR24" s="1075" t="s">
        <v>1547</v>
      </c>
      <c r="BS24" s="1459"/>
      <c r="BT24" s="1311">
        <v>4189676</v>
      </c>
      <c r="BU24" s="1075" t="s">
        <v>1548</v>
      </c>
      <c r="BV24" s="1077"/>
      <c r="BW24" s="1077"/>
      <c r="CC24" s="1311">
        <v>25575374</v>
      </c>
      <c r="CD24" s="1075" t="s">
        <v>1549</v>
      </c>
    </row>
    <row customHeight="1" ht="11.25">
      <c r="A25" s="1081" t="s">
        <v>1550</v>
      </c>
      <c r="B25" s="1082">
        <v>2023</v>
      </c>
      <c r="AW25" s="1128" t="s">
        <v>1551</v>
      </c>
      <c r="AX25" s="1128" t="s">
        <v>1551</v>
      </c>
      <c r="AZ25" s="1128" t="s">
        <v>1552</v>
      </c>
      <c r="BB25" s="1128" t="s">
        <v>1553</v>
      </c>
      <c r="BC25" s="1128" t="s">
        <v>1546</v>
      </c>
      <c r="BE25" s="1128">
        <v>2023</v>
      </c>
      <c r="BH25" s="1075" t="s">
        <v>1479</v>
      </c>
      <c r="BJ25" s="1075" t="s">
        <v>1503</v>
      </c>
      <c r="BL25" s="1075" t="s">
        <v>1503</v>
      </c>
      <c r="BQ25" s="1311">
        <v>4190070</v>
      </c>
      <c r="BR25" s="1075" t="s">
        <v>1554</v>
      </c>
      <c r="BS25" s="1459"/>
      <c r="BT25" s="1311">
        <v>4189677</v>
      </c>
      <c r="BU25" s="1075" t="s">
        <v>1555</v>
      </c>
      <c r="BV25" s="1077"/>
      <c r="BW25" s="1077"/>
    </row>
    <row customHeight="1" ht="11.25">
      <c r="A26" s="1081" t="s">
        <v>1556</v>
      </c>
      <c r="B26" s="1082">
        <v>2024</v>
      </c>
      <c r="J26" s="1771" t="s">
        <v>1557</v>
      </c>
      <c r="AX26" s="1128" t="s">
        <v>1558</v>
      </c>
      <c r="AZ26" s="1128" t="s">
        <v>1423</v>
      </c>
      <c r="BB26" s="1128" t="s">
        <v>1559</v>
      </c>
      <c r="BC26" s="1128" t="s">
        <v>1546</v>
      </c>
      <c r="BE26" s="1128">
        <v>2024</v>
      </c>
      <c r="BH26" s="1075" t="s">
        <v>1489</v>
      </c>
      <c r="BJ26" s="1075" t="s">
        <v>1441</v>
      </c>
      <c r="BL26" s="1075" t="s">
        <v>1441</v>
      </c>
      <c r="BQ26" s="1311">
        <v>4190071</v>
      </c>
      <c r="BR26" s="1075" t="s">
        <v>1560</v>
      </c>
      <c r="BS26" s="1459"/>
      <c r="BV26" s="1077"/>
      <c r="BW26" s="1077"/>
    </row>
    <row customHeight="1" ht="11.25">
      <c r="A27" s="1081" t="s">
        <v>1561</v>
      </c>
      <c r="B27" s="1082">
        <v>2025</v>
      </c>
      <c r="J27" s="162" t="s">
        <v>438</v>
      </c>
      <c r="AX27" s="1128" t="s">
        <v>1562</v>
      </c>
      <c r="BB27" s="1128" t="s">
        <v>1563</v>
      </c>
      <c r="BC27" s="1128" t="s">
        <v>1546</v>
      </c>
      <c r="BE27" s="1128">
        <v>2025</v>
      </c>
      <c r="BH27" s="1077" t="s">
        <v>24</v>
      </c>
      <c r="BJ27" s="1075" t="s">
        <v>1448</v>
      </c>
      <c r="BL27" s="1075" t="s">
        <v>1448</v>
      </c>
      <c r="BN27" s="1077" t="s">
        <v>24</v>
      </c>
      <c r="BQ27" s="1311">
        <v>4190072</v>
      </c>
      <c r="BR27" s="1075" t="s">
        <v>1564</v>
      </c>
      <c r="BS27" s="1459"/>
      <c r="BV27" s="1077"/>
      <c r="BW27" s="1077"/>
    </row>
    <row customHeight="1" ht="11.25">
      <c r="A28" s="1081" t="s">
        <v>1565</v>
      </c>
      <c r="D28" s="1108"/>
      <c r="E28" s="1109"/>
      <c r="F28" s="1109"/>
      <c r="H28" s="1110" t="s">
        <v>1566</v>
      </c>
      <c r="AX28" s="1128" t="s">
        <v>1567</v>
      </c>
      <c r="AZ28" s="1074" t="s">
        <v>1568</v>
      </c>
      <c r="BB28" s="1128" t="s">
        <v>1569</v>
      </c>
      <c r="BC28" s="1128" t="s">
        <v>1570</v>
      </c>
      <c r="BE28" s="1128">
        <v>2026</v>
      </c>
      <c r="BH28" s="1077" t="s">
        <v>24</v>
      </c>
      <c r="BJ28" s="1075" t="s">
        <v>1455</v>
      </c>
      <c r="BL28" s="1075" t="s">
        <v>1455</v>
      </c>
      <c r="BN28" s="1077" t="s">
        <v>24</v>
      </c>
      <c r="BQ28" s="1311">
        <v>4190073</v>
      </c>
      <c r="BR28" s="1075" t="s">
        <v>1571</v>
      </c>
      <c r="BS28" s="1459"/>
      <c r="BV28" s="1077"/>
      <c r="BW28" s="1077"/>
    </row>
    <row customHeight="1" ht="11.25">
      <c r="A29" s="1081" t="s">
        <v>1572</v>
      </c>
      <c r="D29" s="1111" t="s">
        <v>1573</v>
      </c>
      <c r="E29" s="1112" t="str">
        <f>IF(TEMPLATE_GROUP="","",INDEX(StartDateList,MATCH(TEMPLATE_GROUP,CodeTemplateList,0),1))</f>
        <v>45292.61002314815</v>
      </c>
      <c r="F29" s="1112" t="str">
        <f>IF(TEMPLATE_GROUP="","",INDEX(EndDateList,MATCH(TEMPLATE_GROUP,CodeTemplateList,0),1))</f>
        <v>47118.61009259259</v>
      </c>
      <c r="H29" s="1113" t="s">
        <v>1574</v>
      </c>
      <c r="AX29" s="1128" t="s">
        <v>1575</v>
      </c>
      <c r="AZ29" s="1128" t="s">
        <v>1224</v>
      </c>
      <c r="BB29" s="1128" t="s">
        <v>1423</v>
      </c>
      <c r="BC29" s="1098"/>
      <c r="BE29" s="1128">
        <v>2027</v>
      </c>
      <c r="BJ29" s="1075" t="s">
        <v>1463</v>
      </c>
      <c r="BL29" s="1075" t="s">
        <v>1463</v>
      </c>
    </row>
    <row customHeight="1" ht="11.25">
      <c r="A30" s="1081" t="s">
        <v>1576</v>
      </c>
      <c r="D30" s="1114"/>
      <c r="E30" s="1115"/>
      <c r="F30" s="1115"/>
      <c r="AX30" s="1128" t="s">
        <v>1577</v>
      </c>
      <c r="AZ30" s="1128" t="s">
        <v>441</v>
      </c>
      <c r="BE30" s="1128">
        <v>2028</v>
      </c>
      <c r="BJ30" s="1075" t="s">
        <v>1578</v>
      </c>
      <c r="BL30" s="1075" t="s">
        <v>1578</v>
      </c>
    </row>
    <row customHeight="1" ht="12.75">
      <c r="A31" s="1081" t="s">
        <v>1579</v>
      </c>
      <c r="D31" s="1108"/>
      <c r="E31" s="1109"/>
      <c r="F31" s="1109"/>
      <c r="H31" s="1116"/>
      <c r="AX31" s="1128" t="s">
        <v>1580</v>
      </c>
      <c r="AZ31" s="1128" t="s">
        <v>444</v>
      </c>
      <c r="BE31" s="1128">
        <v>2029</v>
      </c>
      <c r="BJ31" s="1075" t="s">
        <v>1581</v>
      </c>
      <c r="BL31" s="1075" t="s">
        <v>1581</v>
      </c>
    </row>
    <row customHeight="1" ht="11.25">
      <c r="A32" s="1081" t="s">
        <v>1582</v>
      </c>
      <c r="D32" s="1111" t="s">
        <v>1583</v>
      </c>
      <c r="E32" s="1112" t="str">
        <f>IF(TEMPLATE_GROUP="","",INDEX(StartDateList,MATCH(TEMPLATE_GROUP,CodeTemplateList,0),1))</f>
        <v>45292.61002314815</v>
      </c>
      <c r="F32" s="1112" t="str">
        <f>IF(TEMPLATE_GROUP="","",INDEX(EndDateList,MATCH(TEMPLATE_GROUP,CodeTemplateList,0),1))</f>
        <v>47118.61009259259</v>
      </c>
      <c r="H32" s="1117" t="s">
        <v>1584</v>
      </c>
      <c r="O32" s="1081" t="s">
        <v>442</v>
      </c>
      <c r="AX32" s="1128" t="s">
        <v>1585</v>
      </c>
      <c r="AZ32" s="1128" t="s">
        <v>443</v>
      </c>
      <c r="BE32" s="1128">
        <v>2030</v>
      </c>
      <c r="BJ32" s="1075" t="s">
        <v>1472</v>
      </c>
      <c r="BL32" s="1075" t="s">
        <v>1472</v>
      </c>
    </row>
    <row customHeight="1" ht="11.25">
      <c r="A33" s="1081" t="s">
        <v>1586</v>
      </c>
      <c r="O33" s="1081" t="s">
        <v>1248</v>
      </c>
      <c r="AX33" s="1128" t="s">
        <v>1587</v>
      </c>
      <c r="AZ33" s="1128" t="s">
        <v>440</v>
      </c>
      <c r="BE33" s="1128">
        <v>2031</v>
      </c>
      <c r="BJ33" s="1075" t="s">
        <v>1479</v>
      </c>
      <c r="BL33" s="1075" t="s">
        <v>1479</v>
      </c>
    </row>
    <row customHeight="1" ht="11.25">
      <c r="A34" s="1081" t="s">
        <v>1588</v>
      </c>
      <c r="O34" s="1081" t="s">
        <v>1283</v>
      </c>
      <c r="AX34" s="1128" t="s">
        <v>1589</v>
      </c>
      <c r="BE34" s="1128">
        <v>2032</v>
      </c>
      <c r="BJ34" s="1075" t="s">
        <v>1489</v>
      </c>
      <c r="BL34" s="1075" t="s">
        <v>1489</v>
      </c>
    </row>
    <row customHeight="1" ht="11.25">
      <c r="A35" s="1081" t="s">
        <v>1590</v>
      </c>
      <c r="O35" s="1081" t="s">
        <v>1316</v>
      </c>
      <c r="AX35" s="1128" t="s">
        <v>1591</v>
      </c>
      <c r="AZ35" s="1074" t="s">
        <v>1592</v>
      </c>
      <c r="BE35" s="1128">
        <v>2033</v>
      </c>
      <c r="BL35" s="1075" t="s">
        <v>1593</v>
      </c>
    </row>
    <row customHeight="1" ht="11.25">
      <c r="A36" s="1913" t="s">
        <v>1594</v>
      </c>
      <c r="D36" s="1118" t="s">
        <v>1595</v>
      </c>
      <c r="E36" s="1119" t="s">
        <v>709</v>
      </c>
      <c r="F36" s="1120" t="str">
        <f>INDEX(E37:E41,MATCH(TEMPLATE_SPHERE,F37:F41,0))</f>
        <v>теплоснабжения</v>
      </c>
      <c r="G36" s="1120" t="str">
        <f>INDEX(G37:G41,MATCH(TEMPLATE_SPHERE,F37:F41,0))</f>
        <v>теплоснабжение</v>
      </c>
      <c r="O36" s="1081" t="s">
        <v>1340</v>
      </c>
      <c r="AX36" s="1128" t="s">
        <v>1596</v>
      </c>
      <c r="AZ36" s="1128" t="s">
        <v>440</v>
      </c>
      <c r="BE36" s="1128">
        <v>2034</v>
      </c>
      <c r="BL36" s="1075" t="s">
        <v>1597</v>
      </c>
    </row>
    <row customHeight="1" ht="11.25">
      <c r="A37" s="1081" t="s">
        <v>1598</v>
      </c>
      <c r="E37" s="413" t="s">
        <v>1599</v>
      </c>
      <c r="F37" s="1121" t="s">
        <v>709</v>
      </c>
      <c r="G37" s="413" t="s">
        <v>1600</v>
      </c>
      <c r="O37" s="1081" t="s">
        <v>1359</v>
      </c>
      <c r="AX37" s="1128" t="s">
        <v>1601</v>
      </c>
      <c r="AZ37" s="1128" t="s">
        <v>1250</v>
      </c>
      <c r="BE37" s="1128">
        <v>2035</v>
      </c>
    </row>
    <row customHeight="1" ht="11.25">
      <c r="A38" s="1081" t="s">
        <v>1602</v>
      </c>
      <c r="E38" s="413" t="s">
        <v>1603</v>
      </c>
      <c r="F38" s="1122" t="s">
        <v>755</v>
      </c>
      <c r="G38" s="413" t="s">
        <v>1604</v>
      </c>
      <c r="O38" s="1081" t="s">
        <v>1375</v>
      </c>
      <c r="AX38" s="1128" t="s">
        <v>1605</v>
      </c>
      <c r="AZ38" s="1128" t="s">
        <v>1284</v>
      </c>
      <c r="BE38" s="1128">
        <v>2036</v>
      </c>
      <c r="BH38" s="1074" t="s">
        <v>1606</v>
      </c>
      <c r="BJ38" s="1074" t="s">
        <v>1607</v>
      </c>
      <c r="BL38" s="1074" t="s">
        <v>1608</v>
      </c>
      <c r="BN38" s="1074" t="s">
        <v>1609</v>
      </c>
    </row>
    <row customHeight="1" ht="11.25">
      <c r="A39" s="1081" t="s">
        <v>1610</v>
      </c>
      <c r="E39" s="413" t="s">
        <v>1611</v>
      </c>
      <c r="F39" s="1122" t="s">
        <v>807</v>
      </c>
      <c r="G39" s="413" t="s">
        <v>1612</v>
      </c>
      <c r="O39" s="1081" t="s">
        <v>1391</v>
      </c>
      <c r="AX39" s="1128" t="s">
        <v>1613</v>
      </c>
      <c r="AZ39" s="1128" t="s">
        <v>1317</v>
      </c>
      <c r="BE39" s="1128">
        <v>2037</v>
      </c>
      <c r="BH39" s="1075" t="s">
        <v>1614</v>
      </c>
      <c r="BJ39" s="1229" t="s">
        <v>1614</v>
      </c>
      <c r="BL39" s="1229" t="s">
        <v>1614</v>
      </c>
      <c r="BN39" s="1075" t="s">
        <v>1615</v>
      </c>
    </row>
    <row customHeight="1" ht="11.25">
      <c r="A40" s="1081" t="s">
        <v>1616</v>
      </c>
      <c r="E40" s="413" t="s">
        <v>1617</v>
      </c>
      <c r="F40" s="1122" t="s">
        <v>793</v>
      </c>
      <c r="G40" s="413" t="s">
        <v>1618</v>
      </c>
      <c r="O40" s="1081" t="s">
        <v>1407</v>
      </c>
      <c r="AX40" s="1128" t="s">
        <v>1619</v>
      </c>
      <c r="BE40" s="1128">
        <v>2038</v>
      </c>
      <c r="BH40" s="1075" t="s">
        <v>1620</v>
      </c>
      <c r="BJ40" s="1229" t="s">
        <v>928</v>
      </c>
      <c r="BL40" s="1229" t="s">
        <v>928</v>
      </c>
      <c r="BN40" s="1075" t="s">
        <v>962</v>
      </c>
    </row>
    <row customHeight="1" ht="11.25">
      <c r="A41" s="1081" t="s">
        <v>1621</v>
      </c>
      <c r="E41" s="413" t="s">
        <v>1622</v>
      </c>
      <c r="F41" s="1122" t="s">
        <v>1623</v>
      </c>
      <c r="G41" s="413" t="s">
        <v>1622</v>
      </c>
      <c r="O41" s="1081" t="s">
        <v>1423</v>
      </c>
      <c r="AX41" s="1128" t="s">
        <v>1624</v>
      </c>
      <c r="AZ41" s="1074" t="s">
        <v>1625</v>
      </c>
      <c r="BE41" s="1128">
        <v>2039</v>
      </c>
      <c r="BH41" s="1075" t="s">
        <v>1626</v>
      </c>
      <c r="BJ41" s="1229" t="s">
        <v>924</v>
      </c>
      <c r="BL41" s="1229" t="s">
        <v>924</v>
      </c>
      <c r="BN41" s="1075" t="s">
        <v>949</v>
      </c>
    </row>
    <row customHeight="1" ht="11.25">
      <c r="A42" s="1081" t="s">
        <v>1627</v>
      </c>
      <c r="AX42" s="1128" t="s">
        <v>1628</v>
      </c>
      <c r="AZ42" s="1128" t="s">
        <v>442</v>
      </c>
      <c r="BE42" s="1128">
        <v>2040</v>
      </c>
      <c r="BH42" s="1075" t="s">
        <v>946</v>
      </c>
      <c r="BJ42" s="1229" t="s">
        <v>926</v>
      </c>
      <c r="BL42" s="1229" t="s">
        <v>926</v>
      </c>
      <c r="BN42" s="1075" t="s">
        <v>1629</v>
      </c>
    </row>
    <row customHeight="1" ht="11.25">
      <c r="A43" s="1081" t="s">
        <v>1630</v>
      </c>
      <c r="AX43" s="1128" t="s">
        <v>1631</v>
      </c>
      <c r="AZ43" s="1128" t="s">
        <v>1248</v>
      </c>
      <c r="BE43" s="1128">
        <v>2041</v>
      </c>
      <c r="BH43" s="1075" t="s">
        <v>1632</v>
      </c>
      <c r="BJ43" s="1229" t="s">
        <v>1626</v>
      </c>
      <c r="BL43" s="1229" t="s">
        <v>1626</v>
      </c>
      <c r="BN43" s="1075" t="s">
        <v>1633</v>
      </c>
    </row>
    <row customHeight="1" ht="11.25">
      <c r="A44" s="1081" t="s">
        <v>1634</v>
      </c>
      <c r="I44" s="805" t="s">
        <v>1635</v>
      </c>
      <c r="J44" s="1096" t="s">
        <v>1636</v>
      </c>
      <c r="K44" s="1096" t="s">
        <v>1637</v>
      </c>
      <c r="AX44" s="1128" t="s">
        <v>1638</v>
      </c>
      <c r="AZ44" s="1128" t="s">
        <v>1283</v>
      </c>
      <c r="BE44" s="1128">
        <v>2042</v>
      </c>
      <c r="BH44" s="1075" t="s">
        <v>1639</v>
      </c>
      <c r="BJ44" s="1229" t="s">
        <v>946</v>
      </c>
      <c r="BL44" s="1229" t="s">
        <v>946</v>
      </c>
      <c r="BN44" s="1075" t="s">
        <v>1640</v>
      </c>
    </row>
    <row customHeight="1" ht="11.25">
      <c r="A45" s="1081" t="s">
        <v>1641</v>
      </c>
      <c r="D45" s="1118" t="s">
        <v>1642</v>
      </c>
      <c r="E45" s="1119" t="s">
        <v>1643</v>
      </c>
      <c r="F45" s="803" t="s">
        <v>1644</v>
      </c>
      <c r="G45" s="802" t="s">
        <v>1645</v>
      </c>
      <c r="H45" s="805" t="s">
        <v>1646</v>
      </c>
      <c r="I45" s="1781">
        <f>INDEX(PeriodIsEmptyList,MATCH(TEMPLATE_GROUP,CodeTemplateList,0),1)</f>
        <v>0</v>
      </c>
      <c r="J45" s="1784" t="str">
        <f>INDEX(NameTemplatesInTitleList,MATCH(TEMPLATE_GROUP,CodeTemplateList,0),1)</f>
        <v>Показатели, подлежащие раскрытию в сфере теплоснабжения (цены и тарифы)</v>
      </c>
      <c r="K45" s="178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8" t="s">
        <v>1647</v>
      </c>
      <c r="AZ45" s="1128" t="s">
        <v>1316</v>
      </c>
      <c r="BE45" s="1128">
        <v>2043</v>
      </c>
      <c r="BH45" s="1075" t="s">
        <v>1648</v>
      </c>
      <c r="BJ45" s="1229" t="s">
        <v>940</v>
      </c>
      <c r="BL45" s="1229" t="s">
        <v>940</v>
      </c>
      <c r="BN45" s="1075" t="s">
        <v>1649</v>
      </c>
    </row>
    <row customHeight="1" ht="11.25">
      <c r="A46" s="1081" t="s">
        <v>1650</v>
      </c>
      <c r="E46" s="413" t="s">
        <v>22</v>
      </c>
      <c r="F46" s="1121" t="s">
        <v>1651</v>
      </c>
      <c r="G46" s="1123"/>
      <c r="H46" s="1123"/>
      <c r="I46" s="1782">
        <f>IF(TITLE_DATE_FIL="",TRUE,FALSE)</f>
        <v>1</v>
      </c>
      <c r="J46" s="1785" t="str">
        <f>"Общая информация о регулируемой организации ("&amp;TEMPLATE_SPHERE_RUS&amp;")"</f>
        <v>Общая информация о регулируемой организации (теплоснабжения)</v>
      </c>
      <c r="K46" s="1786"/>
      <c r="AX46" s="1128" t="s">
        <v>1652</v>
      </c>
      <c r="AZ46" s="1128" t="s">
        <v>1340</v>
      </c>
      <c r="BE46" s="1128">
        <v>2044</v>
      </c>
      <c r="BH46" s="1075" t="s">
        <v>949</v>
      </c>
      <c r="BJ46" s="1229" t="s">
        <v>930</v>
      </c>
      <c r="BL46" s="1229" t="s">
        <v>930</v>
      </c>
      <c r="BN46" s="1075" t="s">
        <v>1653</v>
      </c>
    </row>
    <row customHeight="1" ht="11.25">
      <c r="A47" s="1081" t="s">
        <v>1654</v>
      </c>
      <c r="E47" s="413" t="s">
        <v>29</v>
      </c>
      <c r="F47" s="1122" t="s">
        <v>1655</v>
      </c>
      <c r="G47" s="1124" t="str">
        <f>IF(f_year="","",IF(LEN(f_quart)=0,"",IF(f_quart="I квартал","01.01."&amp;f_year,IF(f_quart="II квартал","01.04."&amp;f_year,(IF(f_quart="III квартал","01.07."&amp;f_year,"01.10."&amp;f_year))))))</f>
        <v/>
      </c>
      <c r="H47" s="1124" t="str">
        <f>IF(f_year="","",IF(LEN(f_quart)=0,"",IF(f_quart="I квартал","31.03."&amp;f_year,IF(f_quart="II квартал","30.06."&amp;f_year,(IF(f_quart="III квартал","30.09."&amp;f_year,"31.12."&amp;f_year))))))</f>
        <v/>
      </c>
      <c r="I47" s="1783">
        <f>IF(OR(f_year="",f_quart=""),TRUE,FALSE)</f>
        <v>1</v>
      </c>
      <c r="J47" s="178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86"/>
      <c r="AX47" s="1128" t="s">
        <v>1656</v>
      </c>
      <c r="AZ47" s="1128" t="s">
        <v>1359</v>
      </c>
      <c r="BE47" s="1128">
        <v>2045</v>
      </c>
      <c r="BH47" s="1075" t="s">
        <v>1629</v>
      </c>
      <c r="BJ47" s="1229" t="s">
        <v>932</v>
      </c>
      <c r="BL47" s="1229" t="s">
        <v>932</v>
      </c>
      <c r="BN47" s="1075" t="s">
        <v>1657</v>
      </c>
    </row>
    <row customHeight="1" ht="11.25">
      <c r="A48" s="1081" t="s">
        <v>1658</v>
      </c>
      <c r="E48" s="413" t="s">
        <v>1659</v>
      </c>
      <c r="F48" s="1122" t="s">
        <v>1660</v>
      </c>
      <c r="G48" s="1124" t="str">
        <f>IF(f_year="","","01.01."&amp;f_year)</f>
        <v/>
      </c>
      <c r="H48" s="1124" t="str">
        <f>IF(f_year="","","31.12."&amp;f_year)</f>
        <v/>
      </c>
      <c r="I48" s="1782">
        <f>IF(f_year="",TRUE,FALSE)</f>
        <v>1</v>
      </c>
      <c r="J48" s="1785" t="s">
        <v>1661</v>
      </c>
      <c r="K48" s="1786"/>
      <c r="AX48" s="1128" t="s">
        <v>1662</v>
      </c>
      <c r="AZ48" s="1128" t="s">
        <v>1375</v>
      </c>
      <c r="BE48" s="1128">
        <v>2046</v>
      </c>
      <c r="BH48" s="1075" t="s">
        <v>1633</v>
      </c>
      <c r="BJ48" s="1229" t="s">
        <v>934</v>
      </c>
      <c r="BL48" s="1229" t="s">
        <v>934</v>
      </c>
      <c r="BN48" s="1075" t="s">
        <v>1663</v>
      </c>
    </row>
    <row customHeight="1" ht="11.25">
      <c r="A49" s="1081" t="s">
        <v>1664</v>
      </c>
      <c r="E49" s="413" t="s">
        <v>1665</v>
      </c>
      <c r="F49" s="1122" t="s">
        <v>1666</v>
      </c>
      <c r="G49" s="1124" t="str">
        <f>IF(f_year="","","01.01."&amp;f_year)</f>
        <v/>
      </c>
      <c r="H49" s="1124" t="str">
        <f>IF(f_year="","","31.12."&amp;f_year)</f>
        <v/>
      </c>
      <c r="I49" s="1782">
        <f>IF(f_year="",TRUE,FALSE)</f>
        <v>1</v>
      </c>
      <c r="J49" s="178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86"/>
      <c r="AX49" s="1128" t="s">
        <v>1667</v>
      </c>
      <c r="AZ49" s="1128" t="s">
        <v>1391</v>
      </c>
      <c r="BE49" s="1128">
        <v>2047</v>
      </c>
      <c r="BH49" s="1075" t="s">
        <v>950</v>
      </c>
      <c r="BJ49" s="1229" t="s">
        <v>936</v>
      </c>
      <c r="BL49" s="1229" t="s">
        <v>936</v>
      </c>
    </row>
    <row customHeight="1" ht="11.25">
      <c r="A50" s="1081" t="s">
        <v>1668</v>
      </c>
      <c r="E50" s="413" t="s">
        <v>1669</v>
      </c>
      <c r="F50" s="1122" t="s">
        <v>920</v>
      </c>
      <c r="G50" s="1124" t="str">
        <f>IF(f_year="","","01.01."&amp;f_year)</f>
        <v/>
      </c>
      <c r="H50" s="1124" t="str">
        <f>IF(f_year="","","31.12."&amp;f_year)</f>
        <v/>
      </c>
      <c r="I50" s="1782">
        <f>IF(f_year="",TRUE,FALSE)</f>
        <v>1</v>
      </c>
      <c r="J50" s="178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86"/>
      <c r="AX50" s="1128" t="s">
        <v>1670</v>
      </c>
      <c r="AZ50" s="1128" t="s">
        <v>1407</v>
      </c>
      <c r="BE50" s="1128">
        <v>2048</v>
      </c>
      <c r="BH50" s="1075" t="s">
        <v>1640</v>
      </c>
      <c r="BJ50" s="1229" t="s">
        <v>938</v>
      </c>
      <c r="BL50" s="1229" t="s">
        <v>938</v>
      </c>
    </row>
    <row customHeight="1" ht="11.25">
      <c r="A51" s="1081" t="s">
        <v>1671</v>
      </c>
      <c r="E51" s="413" t="s">
        <v>1672</v>
      </c>
      <c r="F51" s="1122" t="s">
        <v>1673</v>
      </c>
      <c r="G51" s="1124" t="str">
        <f>IF(TITLE_PERIOD_START="","",TITLE_PERIOD_START)</f>
        <v>45292.61002314815</v>
      </c>
      <c r="H51" s="1124" t="str">
        <f>IF(TITLE_PERIOD_END="","",TITLE_PERIOD_END)</f>
        <v>47118.61009259259</v>
      </c>
      <c r="I51" s="1783">
        <f>IF(OR(TITLE_PERIOD_START="",TITLE_PERIOD_END=""),TRUE,FALSE)</f>
        <v>0</v>
      </c>
      <c r="J51" s="178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86"/>
      <c r="AX51" s="1128" t="s">
        <v>1674</v>
      </c>
      <c r="AZ51" s="1128" t="s">
        <v>1423</v>
      </c>
      <c r="BE51" s="1128">
        <v>2049</v>
      </c>
      <c r="BH51" s="1075" t="s">
        <v>1649</v>
      </c>
      <c r="BJ51" s="1229" t="s">
        <v>1675</v>
      </c>
      <c r="BL51" s="1229" t="s">
        <v>1675</v>
      </c>
    </row>
    <row customHeight="1" ht="11.25">
      <c r="A52" s="1081" t="s">
        <v>1676</v>
      </c>
      <c r="E52" s="413" t="s">
        <v>1677</v>
      </c>
      <c r="F52" s="1122" t="s">
        <v>1643</v>
      </c>
      <c r="G52" s="1124" t="str">
        <f>IF(TITLE_PERIOD_START="","",TITLE_PERIOD_START)</f>
        <v>45292.61002314815</v>
      </c>
      <c r="H52" s="1124" t="str">
        <f>IF(TITLE_PERIOD_END="","",TITLE_PERIOD_END)</f>
        <v>47118.61009259259</v>
      </c>
      <c r="I52" s="1783">
        <f>IF(OR(TITLE_PERIOD_START="",TITLE_PERIOD_END=""),TRUE,FALSE)</f>
        <v>0</v>
      </c>
      <c r="J52" s="1785" t="str">
        <f>"Показатели, подлежащие раскрытию в сфере "&amp;TEMPLATE_SPHERE_RUS&amp;" (цены и тарифы)"</f>
        <v>Показатели, подлежащие раскрытию в сфере теплоснабжения (цены и тарифы)</v>
      </c>
      <c r="K52" s="1786"/>
      <c r="AX52" s="1128" t="s">
        <v>1678</v>
      </c>
      <c r="AZ52" s="1128" t="s">
        <v>440</v>
      </c>
      <c r="BE52" s="1128">
        <v>2050</v>
      </c>
      <c r="BH52" s="1075" t="s">
        <v>1653</v>
      </c>
      <c r="BJ52" s="1229" t="s">
        <v>949</v>
      </c>
      <c r="BL52" s="1229" t="s">
        <v>949</v>
      </c>
    </row>
    <row customHeight="1" ht="11.25">
      <c r="A53" s="1081" t="s">
        <v>1679</v>
      </c>
      <c r="E53" s="413" t="s">
        <v>1680</v>
      </c>
      <c r="F53" s="1122" t="s">
        <v>1680</v>
      </c>
      <c r="G53" s="1124" t="str">
        <f>IF(f_year="","","01.01."&amp;f_year)</f>
        <v/>
      </c>
      <c r="H53" s="1124" t="str">
        <f>IF(f_year="","","31.12."&amp;f_year)</f>
        <v/>
      </c>
      <c r="I53" s="1782">
        <f>IF(AND(f_year="",TITLE_DATE_FIL=""),TRUE,FALSE)</f>
        <v>1</v>
      </c>
      <c r="J53" s="1785" t="s">
        <v>1681</v>
      </c>
      <c r="K53" s="1786"/>
      <c r="AX53" s="1128" t="s">
        <v>1682</v>
      </c>
      <c r="BE53" s="1128">
        <v>2051</v>
      </c>
      <c r="BH53" s="1075" t="s">
        <v>1657</v>
      </c>
      <c r="BJ53" s="1229" t="s">
        <v>1629</v>
      </c>
      <c r="BL53" s="1229" t="s">
        <v>1629</v>
      </c>
    </row>
    <row customHeight="1" ht="11.25">
      <c r="A54" s="1081" t="s">
        <v>1683</v>
      </c>
      <c r="AX54" s="1128" t="s">
        <v>1684</v>
      </c>
      <c r="AZ54" s="1074" t="s">
        <v>1685</v>
      </c>
      <c r="BE54" s="1128">
        <v>2052</v>
      </c>
      <c r="BH54" s="1075" t="s">
        <v>1663</v>
      </c>
      <c r="BJ54" s="1229" t="s">
        <v>1633</v>
      </c>
      <c r="BL54" s="1229" t="s">
        <v>1633</v>
      </c>
    </row>
    <row customHeight="1" ht="11.25">
      <c r="A55" s="1081" t="s">
        <v>1686</v>
      </c>
      <c r="AX55" s="1128" t="s">
        <v>1687</v>
      </c>
      <c r="AZ55" s="1128" t="s">
        <v>1225</v>
      </c>
      <c r="BE55" s="1128">
        <v>2053</v>
      </c>
      <c r="BH55" s="1077" t="s">
        <v>24</v>
      </c>
      <c r="BJ55" s="1229" t="s">
        <v>950</v>
      </c>
      <c r="BL55" s="1229" t="s">
        <v>950</v>
      </c>
    </row>
    <row customHeight="1" ht="11.25">
      <c r="A56" s="1081" t="s">
        <v>1688</v>
      </c>
      <c r="D56" s="1126" t="s">
        <v>1689</v>
      </c>
      <c r="E56" s="1102">
        <v>55</v>
      </c>
      <c r="F56" s="1081" t="s">
        <v>1690</v>
      </c>
      <c r="AX56" s="1128" t="s">
        <v>1691</v>
      </c>
      <c r="AZ56" s="1128" t="s">
        <v>1251</v>
      </c>
      <c r="BE56" s="1128">
        <v>2054</v>
      </c>
      <c r="BH56" s="1077" t="s">
        <v>24</v>
      </c>
      <c r="BJ56" s="1229" t="s">
        <v>1640</v>
      </c>
      <c r="BL56" s="1229" t="s">
        <v>1640</v>
      </c>
    </row>
    <row customHeight="1" ht="11.25">
      <c r="A57" s="1081" t="s">
        <v>1692</v>
      </c>
      <c r="D57" s="1126" t="s">
        <v>1693</v>
      </c>
      <c r="E57" s="1102">
        <v>66</v>
      </c>
      <c r="F57" s="1081" t="s">
        <v>1690</v>
      </c>
      <c r="AX57" s="1128" t="s">
        <v>1694</v>
      </c>
      <c r="AZ57" s="1128" t="s">
        <v>1286</v>
      </c>
      <c r="BE57" s="1128">
        <v>2055</v>
      </c>
      <c r="BJ57" s="1229" t="s">
        <v>1649</v>
      </c>
      <c r="BL57" s="1229" t="s">
        <v>1649</v>
      </c>
    </row>
    <row customHeight="1" ht="11.25">
      <c r="A58" s="1081" t="s">
        <v>1695</v>
      </c>
      <c r="D58" s="1126" t="s">
        <v>1696</v>
      </c>
      <c r="E58" s="1102">
        <v>44</v>
      </c>
      <c r="F58" s="1081" t="s">
        <v>1690</v>
      </c>
      <c r="AX58" s="1128" t="s">
        <v>1697</v>
      </c>
      <c r="BE58" s="1128">
        <v>2056</v>
      </c>
      <c r="BJ58" s="1229" t="s">
        <v>1653</v>
      </c>
      <c r="BL58" s="1229" t="s">
        <v>1653</v>
      </c>
    </row>
    <row customHeight="1" ht="11.25">
      <c r="A59" s="1081" t="s">
        <v>1698</v>
      </c>
      <c r="D59" s="1126" t="s">
        <v>130</v>
      </c>
      <c r="E59" s="1102" t="s">
        <v>1520</v>
      </c>
      <c r="F59" s="1081" t="s">
        <v>1699</v>
      </c>
      <c r="AX59" s="1128" t="s">
        <v>1700</v>
      </c>
      <c r="AZ59" s="1074" t="s">
        <v>1701</v>
      </c>
      <c r="BE59" s="1128">
        <v>2057</v>
      </c>
      <c r="BJ59" s="1229" t="s">
        <v>1657</v>
      </c>
      <c r="BL59" s="1229" t="s">
        <v>1657</v>
      </c>
    </row>
    <row customHeight="1" ht="11.25">
      <c r="A60" s="1081" t="s">
        <v>1702</v>
      </c>
      <c r="D60" s="1126" t="s">
        <v>1703</v>
      </c>
      <c r="E60" s="1102" t="s">
        <v>1520</v>
      </c>
      <c r="F60" s="1081" t="s">
        <v>1699</v>
      </c>
      <c r="AX60" s="1128" t="s">
        <v>1704</v>
      </c>
      <c r="AZ60" s="1128" t="s">
        <v>1226</v>
      </c>
      <c r="BE60" s="1128">
        <v>2058</v>
      </c>
      <c r="BJ60" s="1229" t="s">
        <v>1663</v>
      </c>
      <c r="BL60" s="1229" t="s">
        <v>1663</v>
      </c>
    </row>
    <row customHeight="1" ht="11.25">
      <c r="A61" s="1081" t="s">
        <v>1705</v>
      </c>
      <c r="D61" s="1126" t="s">
        <v>1706</v>
      </c>
      <c r="E61" s="1102">
        <v>26</v>
      </c>
      <c r="F61" s="1081" t="s">
        <v>1699</v>
      </c>
      <c r="AX61" s="1128" t="s">
        <v>1707</v>
      </c>
      <c r="AZ61" s="1128" t="s">
        <v>1252</v>
      </c>
      <c r="BE61" s="1128">
        <v>2059</v>
      </c>
      <c r="BL61" s="1229" t="s">
        <v>942</v>
      </c>
    </row>
    <row customHeight="1" ht="11.25">
      <c r="A62" s="1081" t="s">
        <v>1708</v>
      </c>
      <c r="D62" s="1126" t="s">
        <v>129</v>
      </c>
      <c r="E62" s="1102">
        <v>30</v>
      </c>
      <c r="F62" s="1081" t="s">
        <v>1699</v>
      </c>
      <c r="AZ62" s="1128" t="s">
        <v>1287</v>
      </c>
      <c r="BE62" s="1128">
        <v>2060</v>
      </c>
      <c r="BL62" s="1229" t="s">
        <v>944</v>
      </c>
    </row>
    <row customHeight="1" ht="11.25">
      <c r="A63" s="1081" t="s">
        <v>1709</v>
      </c>
      <c r="D63" s="1126" t="s">
        <v>1710</v>
      </c>
      <c r="E63" s="1102">
        <v>30</v>
      </c>
      <c r="F63" s="1081" t="s">
        <v>1699</v>
      </c>
      <c r="AZ63" s="1128" t="s">
        <v>1318</v>
      </c>
      <c r="BE63" s="1128">
        <v>2061</v>
      </c>
    </row>
    <row customHeight="1" ht="11.25">
      <c r="A64" s="1081" t="s">
        <v>1711</v>
      </c>
      <c r="D64" s="1126" t="s">
        <v>1712</v>
      </c>
      <c r="E64" s="1102">
        <v>30</v>
      </c>
      <c r="F64" s="1081" t="s">
        <v>1699</v>
      </c>
      <c r="AZ64" s="1128" t="s">
        <v>1341</v>
      </c>
      <c r="BE64" s="1128">
        <v>2062</v>
      </c>
    </row>
    <row customHeight="1" ht="11.25">
      <c r="A65" s="1081" t="s">
        <v>1713</v>
      </c>
      <c r="D65" s="1081"/>
      <c r="BE65" s="1128">
        <v>2063</v>
      </c>
    </row>
    <row customHeight="1" ht="11.25">
      <c r="A66" s="1081" t="s">
        <v>1714</v>
      </c>
      <c r="AZ66" s="1074" t="s">
        <v>1715</v>
      </c>
      <c r="BE66" s="1128">
        <v>2064</v>
      </c>
    </row>
    <row customHeight="1" ht="11.25">
      <c r="A67" s="1081" t="s">
        <v>1716</v>
      </c>
      <c r="AZ67" s="1128" t="s">
        <v>1227</v>
      </c>
      <c r="BE67" s="1128">
        <v>2065</v>
      </c>
    </row>
    <row customHeight="1" ht="11.25">
      <c r="A68" s="1081" t="s">
        <v>14</v>
      </c>
      <c r="AZ68" s="1128" t="s">
        <v>1253</v>
      </c>
      <c r="BE68" s="1128">
        <v>2066</v>
      </c>
      <c r="BH68" s="1074" t="s">
        <v>1717</v>
      </c>
      <c r="BJ68" s="1074" t="s">
        <v>1718</v>
      </c>
      <c r="BL68" s="1074" t="s">
        <v>1719</v>
      </c>
      <c r="BN68" s="1074" t="s">
        <v>1720</v>
      </c>
    </row>
    <row customHeight="1" ht="11.25">
      <c r="A69" s="1081" t="s">
        <v>1721</v>
      </c>
      <c r="AZ69" s="1128" t="s">
        <v>1288</v>
      </c>
      <c r="BE69" s="1128">
        <v>2067</v>
      </c>
      <c r="BH69" s="1075" t="s">
        <v>1722</v>
      </c>
      <c r="BI69" s="1125" t="s">
        <v>108</v>
      </c>
      <c r="BJ69" s="1075" t="s">
        <v>1723</v>
      </c>
      <c r="BK69" s="1125" t="s">
        <v>108</v>
      </c>
      <c r="BL69" s="1075" t="s">
        <v>1724</v>
      </c>
      <c r="BN69" s="1075" t="s">
        <v>1725</v>
      </c>
    </row>
    <row customHeight="1" ht="11.25">
      <c r="A70" s="1081" t="s">
        <v>1726</v>
      </c>
      <c r="AZ70" s="1128" t="s">
        <v>1319</v>
      </c>
      <c r="BE70" s="1128">
        <v>2068</v>
      </c>
      <c r="BH70" s="1075" t="s">
        <v>1727</v>
      </c>
      <c r="BJ70" s="1075" t="s">
        <v>1728</v>
      </c>
      <c r="BL70" s="1075" t="s">
        <v>1729</v>
      </c>
      <c r="BN70" s="1075" t="s">
        <v>1730</v>
      </c>
    </row>
    <row customHeight="1" ht="11.25">
      <c r="A71" s="1081" t="s">
        <v>1731</v>
      </c>
      <c r="AZ71" s="1128" t="s">
        <v>1321</v>
      </c>
      <c r="BE71" s="1128">
        <v>2069</v>
      </c>
      <c r="BH71" s="1075" t="s">
        <v>1732</v>
      </c>
      <c r="BI71" s="1125" t="s">
        <v>89</v>
      </c>
      <c r="BJ71" s="1075" t="s">
        <v>1733</v>
      </c>
      <c r="BK71" s="1125" t="s">
        <v>89</v>
      </c>
      <c r="BL71" s="1075" t="s">
        <v>1734</v>
      </c>
      <c r="BN71" s="1075" t="s">
        <v>1735</v>
      </c>
    </row>
    <row customHeight="1" ht="11.25">
      <c r="A72" s="1081" t="s">
        <v>1736</v>
      </c>
      <c r="AZ72" s="1128" t="s">
        <v>56</v>
      </c>
      <c r="BE72" s="1128">
        <v>2070</v>
      </c>
      <c r="BH72" s="1075" t="s">
        <v>1737</v>
      </c>
      <c r="BJ72" s="1075" t="s">
        <v>1737</v>
      </c>
      <c r="BL72" s="1075" t="s">
        <v>1737</v>
      </c>
      <c r="BN72" s="1075" t="s">
        <v>1738</v>
      </c>
    </row>
    <row customHeight="1" ht="11.25">
      <c r="A73" s="1081" t="s">
        <v>1739</v>
      </c>
      <c r="BH73" s="1075" t="s">
        <v>1740</v>
      </c>
      <c r="BI73" s="1125" t="s">
        <v>110</v>
      </c>
      <c r="BJ73" s="1075" t="s">
        <v>1741</v>
      </c>
      <c r="BK73" s="1125" t="s">
        <v>110</v>
      </c>
      <c r="BL73" s="1075" t="s">
        <v>1742</v>
      </c>
      <c r="BN73" s="1075" t="s">
        <v>1743</v>
      </c>
    </row>
    <row customHeight="1" ht="11.25">
      <c r="A74" s="1081" t="s">
        <v>1744</v>
      </c>
      <c r="BH74" s="1075" t="s">
        <v>1745</v>
      </c>
      <c r="BJ74" s="1075" t="s">
        <v>1746</v>
      </c>
      <c r="BL74" s="1075" t="s">
        <v>1747</v>
      </c>
      <c r="BN74" s="1075" t="s">
        <v>1748</v>
      </c>
    </row>
    <row customHeight="1" ht="11.25">
      <c r="A75" s="1081" t="s">
        <v>1749</v>
      </c>
      <c r="AZ75" s="1074" t="s">
        <v>1750</v>
      </c>
      <c r="BH75" s="1075" t="s">
        <v>1751</v>
      </c>
      <c r="BJ75" s="1075" t="s">
        <v>1751</v>
      </c>
      <c r="BL75" s="1075" t="s">
        <v>1751</v>
      </c>
    </row>
    <row customHeight="1" ht="11.25">
      <c r="A76" s="1081" t="s">
        <v>1752</v>
      </c>
      <c r="AZ76" s="1128" t="s">
        <v>1236</v>
      </c>
      <c r="BH76" s="1075" t="s">
        <v>1753</v>
      </c>
      <c r="BJ76" s="1075" t="s">
        <v>1754</v>
      </c>
      <c r="BL76" s="1075" t="s">
        <v>1755</v>
      </c>
    </row>
    <row customHeight="1" ht="11.25">
      <c r="A77" s="1081" t="s">
        <v>1756</v>
      </c>
      <c r="AZ77" s="1128" t="s">
        <v>1263</v>
      </c>
    </row>
    <row customHeight="1" ht="11.25">
      <c r="A78" s="1081" t="s">
        <v>1757</v>
      </c>
      <c r="AZ78" s="1128" t="s">
        <v>1295</v>
      </c>
    </row>
    <row customHeight="1" ht="11.25">
      <c r="A79" s="1081" t="s">
        <v>1758</v>
      </c>
      <c r="AZ79" s="1128" t="s">
        <v>1325</v>
      </c>
      <c r="BH79" s="1074" t="s">
        <v>1759</v>
      </c>
      <c r="BJ79" s="1074" t="s">
        <v>1760</v>
      </c>
      <c r="BL79" s="1074" t="s">
        <v>1761</v>
      </c>
    </row>
    <row customHeight="1" ht="11.25">
      <c r="A80" s="1081" t="s">
        <v>1762</v>
      </c>
      <c r="AZ80" s="1128" t="s">
        <v>1346</v>
      </c>
      <c r="BH80" s="1075" t="s">
        <v>1763</v>
      </c>
      <c r="BJ80" s="1075" t="s">
        <v>1764</v>
      </c>
      <c r="BL80" s="1075" t="s">
        <v>1765</v>
      </c>
    </row>
    <row customHeight="1" ht="11.25">
      <c r="A81" s="1081" t="s">
        <v>1766</v>
      </c>
      <c r="AZ81" s="1128" t="s">
        <v>1363</v>
      </c>
      <c r="BH81" s="1075" t="s">
        <v>1767</v>
      </c>
      <c r="BJ81" s="1075" t="s">
        <v>1768</v>
      </c>
      <c r="BL81" s="1075" t="s">
        <v>1769</v>
      </c>
    </row>
    <row customHeight="1" ht="11.25">
      <c r="A82" s="1081" t="s">
        <v>1770</v>
      </c>
      <c r="AZ82" s="1128" t="s">
        <v>1377</v>
      </c>
      <c r="BH82" s="1075" t="s">
        <v>1771</v>
      </c>
      <c r="BJ82" s="1075" t="s">
        <v>1772</v>
      </c>
      <c r="BL82" s="1075" t="s">
        <v>1773</v>
      </c>
    </row>
    <row customHeight="1" ht="11.25">
      <c r="A83" s="1081" t="s">
        <v>1774</v>
      </c>
      <c r="BH83" s="1075" t="s">
        <v>1775</v>
      </c>
      <c r="BJ83" s="1075" t="s">
        <v>1776</v>
      </c>
      <c r="BL83" s="1075" t="s">
        <v>1777</v>
      </c>
    </row>
    <row customHeight="1" ht="11.25">
      <c r="A84" s="1081" t="s">
        <v>1778</v>
      </c>
      <c r="AZ84" s="1074" t="s">
        <v>1779</v>
      </c>
    </row>
    <row customHeight="1" ht="11.25">
      <c r="A85" s="1913" t="s">
        <v>1780</v>
      </c>
      <c r="AZ85" s="1128" t="s">
        <v>1781</v>
      </c>
    </row>
    <row customHeight="1" ht="11.25">
      <c r="A86" s="1081" t="s">
        <v>1782</v>
      </c>
      <c r="AZ86" s="1128" t="s">
        <v>1783</v>
      </c>
      <c r="BH86" s="1074" t="s">
        <v>1784</v>
      </c>
      <c r="BJ86" s="1074" t="s">
        <v>1785</v>
      </c>
      <c r="BL86" s="1074" t="s">
        <v>1786</v>
      </c>
    </row>
    <row customHeight="1" ht="11.25">
      <c r="A87" s="1081" t="s">
        <v>1787</v>
      </c>
      <c r="AZ87" s="1128" t="s">
        <v>1788</v>
      </c>
      <c r="BH87" s="1075" t="s">
        <v>1789</v>
      </c>
      <c r="BJ87" s="1075" t="s">
        <v>1790</v>
      </c>
      <c r="BL87" s="1075" t="s">
        <v>1791</v>
      </c>
    </row>
    <row customHeight="1" ht="11.25">
      <c r="A88" s="1081" t="s">
        <v>1792</v>
      </c>
      <c r="AZ88" s="1646"/>
      <c r="BH88" s="1075" t="s">
        <v>1793</v>
      </c>
      <c r="BJ88" s="1075" t="s">
        <v>1794</v>
      </c>
      <c r="BL88" s="1075" t="s">
        <v>1795</v>
      </c>
    </row>
    <row customHeight="1" ht="11.25">
      <c r="A89" s="1081" t="s">
        <v>1796</v>
      </c>
      <c r="AZ89" s="1074" t="s">
        <v>1797</v>
      </c>
    </row>
    <row customHeight="1" ht="11.25">
      <c r="A90" s="1081" t="s">
        <v>1798</v>
      </c>
      <c r="AZ90" s="1128" t="s">
        <v>920</v>
      </c>
    </row>
    <row customHeight="1" ht="11.25">
      <c r="A91" s="1081" t="s">
        <v>1799</v>
      </c>
      <c r="AZ91" s="1128" t="s">
        <v>956</v>
      </c>
      <c r="BH91" s="1074" t="s">
        <v>1800</v>
      </c>
      <c r="BJ91" s="1074" t="s">
        <v>1801</v>
      </c>
      <c r="BL91" s="1074" t="s">
        <v>1802</v>
      </c>
    </row>
    <row customHeight="1" ht="11.25">
      <c r="AZ92" s="1128" t="s">
        <v>1803</v>
      </c>
      <c r="BH92" s="1075" t="s">
        <v>1804</v>
      </c>
      <c r="BJ92" s="1075" t="s">
        <v>1805</v>
      </c>
      <c r="BL92" s="1075" t="s">
        <v>1806</v>
      </c>
    </row>
    <row customHeight="1" ht="11.25">
      <c r="AZ93" s="1128" t="s">
        <v>1807</v>
      </c>
      <c r="BH93" s="1075" t="s">
        <v>1808</v>
      </c>
      <c r="BJ93" s="1075" t="s">
        <v>1809</v>
      </c>
      <c r="BL93" s="1075" t="s">
        <v>1810</v>
      </c>
    </row>
    <row customHeight="1" ht="11.25">
      <c r="AZ94" s="1128" t="s">
        <v>1811</v>
      </c>
    </row>
    <row r="96" customHeight="1" ht="11.25">
      <c r="AZ96" s="1074" t="s">
        <v>1812</v>
      </c>
      <c r="BH96" s="1074" t="s">
        <v>1813</v>
      </c>
      <c r="BJ96" s="1074" t="s">
        <v>1814</v>
      </c>
      <c r="BL96" s="1074" t="s">
        <v>1815</v>
      </c>
      <c r="BN96" s="1074" t="s">
        <v>1816</v>
      </c>
    </row>
    <row customHeight="1" ht="11.25">
      <c r="AZ97" s="1128" t="s">
        <v>1817</v>
      </c>
      <c r="BH97" s="1075" t="s">
        <v>1818</v>
      </c>
      <c r="BJ97" s="1075" t="s">
        <v>1819</v>
      </c>
      <c r="BL97" s="1075" t="s">
        <v>1820</v>
      </c>
      <c r="BN97" s="1075" t="s">
        <v>1821</v>
      </c>
    </row>
    <row customHeight="1" ht="11.25">
      <c r="AZ98" s="1128" t="s">
        <v>1822</v>
      </c>
      <c r="BH98" s="1075" t="s">
        <v>1823</v>
      </c>
      <c r="BJ98" s="1075" t="s">
        <v>1824</v>
      </c>
      <c r="BL98" s="1075" t="s">
        <v>1825</v>
      </c>
      <c r="BN98" s="1075" t="s">
        <v>1826</v>
      </c>
    </row>
    <row customHeight="1" ht="11.25">
      <c r="AZ99" s="1128" t="s">
        <v>1827</v>
      </c>
      <c r="BH99" s="1075" t="s">
        <v>1828</v>
      </c>
      <c r="BJ99" s="1075" t="s">
        <v>1829</v>
      </c>
      <c r="BL99" s="1075" t="s">
        <v>1830</v>
      </c>
      <c r="BN99" s="1075" t="s">
        <v>1831</v>
      </c>
    </row>
    <row customHeight="1" ht="11.25">
      <c r="BJ100" s="1075" t="s">
        <v>1423</v>
      </c>
      <c r="BL100" s="1075" t="s">
        <v>1423</v>
      </c>
      <c r="BN100" s="1075" t="s">
        <v>1832</v>
      </c>
    </row>
    <row customHeight="1" ht="11.25">
      <c r="AZ101" s="1732" t="s">
        <v>1833</v>
      </c>
      <c r="BN101" s="1075" t="s">
        <v>1834</v>
      </c>
    </row>
    <row customHeight="1" ht="11.25">
      <c r="AZ102" s="1128" t="s">
        <v>1835</v>
      </c>
      <c r="BN102" s="1075" t="s">
        <v>1836</v>
      </c>
    </row>
    <row customHeight="1" ht="11.25">
      <c r="AZ103" s="1128" t="s">
        <v>1837</v>
      </c>
      <c r="BN103" s="1075" t="s">
        <v>1838</v>
      </c>
    </row>
    <row customHeight="1" ht="11.25">
      <c r="AZ104" s="1128" t="s">
        <v>558</v>
      </c>
      <c r="BN104" s="1075" t="s">
        <v>1839</v>
      </c>
    </row>
    <row r="107" customHeight="1" ht="11.25">
      <c r="BH107" s="1074" t="s">
        <v>1840</v>
      </c>
      <c r="BJ107" s="1074" t="s">
        <v>1841</v>
      </c>
      <c r="BL107" s="1074" t="s">
        <v>1842</v>
      </c>
      <c r="BN107" s="1074" t="s">
        <v>1843</v>
      </c>
    </row>
    <row customHeight="1" ht="11.25">
      <c r="BH108" s="1075" t="s">
        <v>1844</v>
      </c>
      <c r="BJ108" s="1075" t="s">
        <v>1845</v>
      </c>
      <c r="BL108" s="1075" t="s">
        <v>1508</v>
      </c>
      <c r="BN108" s="1075" t="s">
        <v>1846</v>
      </c>
    </row>
    <row customHeight="1" ht="11.25">
      <c r="BH109" s="1075" t="s">
        <v>1847</v>
      </c>
    </row>
    <row customHeight="1" ht="11.25">
      <c r="BH110" s="1075" t="s">
        <v>1847</v>
      </c>
    </row>
    <row r="114" customHeight="1" ht="11.25">
      <c r="BH114" s="1074" t="s">
        <v>1848</v>
      </c>
    </row>
    <row customHeight="1" ht="11.25">
      <c r="BH115" s="1075" t="s">
        <v>440</v>
      </c>
    </row>
    <row customHeight="1" ht="11.25">
      <c r="BH116" s="1075" t="s">
        <v>1250</v>
      </c>
    </row>
    <row customHeight="1" ht="11.25">
      <c r="BH117" s="1075" t="s">
        <v>1284</v>
      </c>
    </row>
    <row customHeight="1" ht="11.25">
      <c r="BH118" s="1075" t="s">
        <v>1317</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FCA4D8-0388-A148-B4DD-16F99DAD01FE}"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5192" width="43.140625"/>
    <col min="2" max="2" style="5192" width="43.140625" hidden="1"/>
    <col min="3" max="3" style="5192" width="43.140625"/>
    <col min="4" max="5" style="5192" width="36.421875" customWidth="1"/>
    <col min="6" max="8" style="5193" width="36.421875" customWidth="1"/>
  </cols>
  <sheetData>
    <row customHeight="1" ht="9">
      <c r="A1" s="852" t="s">
        <v>1849</v>
      </c>
      <c r="B1" s="852"/>
      <c r="C1" s="989" t="s">
        <v>1850</v>
      </c>
      <c r="D1" s="987" t="s">
        <v>709</v>
      </c>
      <c r="E1" s="987" t="s">
        <v>755</v>
      </c>
      <c r="F1" s="987" t="s">
        <v>807</v>
      </c>
      <c r="G1" s="987" t="s">
        <v>793</v>
      </c>
      <c r="H1" s="987" t="s">
        <v>1623</v>
      </c>
    </row>
    <row customHeight="1" ht="9">
      <c r="A2" s="990" t="s">
        <v>1851</v>
      </c>
      <c r="B2" s="990"/>
      <c r="C2" s="991" t="str">
        <f>INDEX(TEMPLATE_NUMBER_FORM_LIST,MATCH(TEMPLATE_SPHERE,TEMPLATE_SPHERE_LIST,0))</f>
        <v>16</v>
      </c>
      <c r="D2" s="990" t="s">
        <v>1474</v>
      </c>
      <c r="E2" s="990" t="s">
        <v>148</v>
      </c>
      <c r="F2" s="992" t="s">
        <v>148</v>
      </c>
      <c r="G2" s="990" t="s">
        <v>148</v>
      </c>
      <c r="H2" s="993"/>
    </row>
    <row customHeight="1" ht="63">
      <c r="A3" s="852"/>
      <c r="B3" s="852" t="s">
        <v>108</v>
      </c>
      <c r="C3" s="991"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91" t="s">
        <v>1852</v>
      </c>
      <c r="E3" s="991"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92"/>
      <c r="G3" s="993"/>
      <c r="H3" s="852"/>
    </row>
    <row customHeight="1" ht="243">
      <c r="A4" s="852" t="s">
        <v>1853</v>
      </c>
      <c r="B4" s="852" t="s">
        <v>109</v>
      </c>
      <c r="C4" s="991"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90" t="s">
        <v>1854</v>
      </c>
      <c r="E4" s="99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90"/>
      <c r="G4" s="990"/>
      <c r="H4" s="852" t="s">
        <v>1855</v>
      </c>
    </row>
    <row customHeight="1" ht="117">
      <c r="A5" s="852" t="s">
        <v>1856</v>
      </c>
      <c r="B5" s="852" t="s">
        <v>89</v>
      </c>
      <c r="C5" s="991"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52" t="s">
        <v>1857</v>
      </c>
      <c r="E5" s="855"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93"/>
      <c r="G5" s="993"/>
      <c r="H5" s="852" t="s">
        <v>1858</v>
      </c>
    </row>
    <row customHeight="1" ht="45">
      <c r="A6" s="852" t="s">
        <v>1859</v>
      </c>
      <c r="B6" s="852" t="s">
        <v>90</v>
      </c>
      <c r="C6" s="991"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2" t="s">
        <v>1860</v>
      </c>
      <c r="E6" s="855"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52"/>
      <c r="G6" s="852"/>
      <c r="H6" s="993"/>
    </row>
    <row customHeight="1" ht="45">
      <c r="A7" s="852" t="s">
        <v>1861</v>
      </c>
      <c r="B7" s="852" t="s">
        <v>110</v>
      </c>
      <c r="C7" s="991" t="str">
        <f>IF(TEMPLATE_SPHERE="HEAT",D7,E7)</f>
        <v>Форма 11. Информация о расходах на капитальный и текущий ремонт основных средств</v>
      </c>
      <c r="D7" s="852" t="s">
        <v>1862</v>
      </c>
      <c r="E7" s="852" t="s">
        <v>1863</v>
      </c>
      <c r="F7" s="993"/>
      <c r="G7" s="993"/>
      <c r="H7" s="993"/>
    </row>
    <row customHeight="1" ht="108">
      <c r="A8" s="852" t="s">
        <v>1864</v>
      </c>
      <c r="B8" s="852" t="s">
        <v>91</v>
      </c>
      <c r="C8" s="991"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52" t="s">
        <v>1865</v>
      </c>
      <c r="E8" s="852" t="s">
        <v>1866</v>
      </c>
      <c r="F8" s="993"/>
      <c r="G8" s="993"/>
      <c r="H8" s="993"/>
    </row>
    <row customHeight="1" ht="99">
      <c r="A9" s="852" t="s">
        <v>1867</v>
      </c>
      <c r="B9" s="852"/>
      <c r="C9" s="852" t="s">
        <v>1868</v>
      </c>
      <c r="D9" s="852"/>
      <c r="E9" s="852"/>
      <c r="F9" s="993"/>
      <c r="G9" s="993"/>
      <c r="H9" s="993"/>
    </row>
    <row customHeight="1" ht="126">
      <c r="A10" s="852" t="s">
        <v>1869</v>
      </c>
      <c r="B10" s="852"/>
      <c r="C10" s="852" t="s">
        <v>1870</v>
      </c>
      <c r="D10" s="852"/>
      <c r="E10" s="852"/>
      <c r="F10" s="993"/>
      <c r="G10" s="993"/>
      <c r="H10" s="993"/>
    </row>
    <row customHeight="1" ht="108">
      <c r="A11" s="852" t="s">
        <v>1871</v>
      </c>
      <c r="B11" s="852"/>
      <c r="C11" s="852" t="s">
        <v>1872</v>
      </c>
      <c r="D11" s="852"/>
      <c r="E11" s="852"/>
      <c r="F11" s="993"/>
      <c r="G11" s="993"/>
      <c r="H11" s="993"/>
    </row>
    <row customHeight="1" ht="54">
      <c r="A12" s="852" t="s">
        <v>1873</v>
      </c>
      <c r="B12" s="852"/>
      <c r="C12" s="852" t="s">
        <v>1874</v>
      </c>
      <c r="D12" s="852"/>
      <c r="E12" s="852"/>
      <c r="F12" s="993"/>
      <c r="G12" s="993"/>
      <c r="H12" s="993"/>
    </row>
    <row customHeight="1" ht="45">
      <c r="A13" s="852" t="s">
        <v>1875</v>
      </c>
      <c r="B13" s="852"/>
      <c r="C13" s="852" t="s">
        <v>1876</v>
      </c>
      <c r="D13" s="852"/>
      <c r="E13" s="852"/>
      <c r="F13" s="993"/>
      <c r="G13" s="993"/>
      <c r="H13" s="993"/>
    </row>
    <row customHeight="1" ht="117">
      <c r="A14" s="852" t="s">
        <v>1877</v>
      </c>
      <c r="B14" s="852"/>
      <c r="C14" s="852" t="s">
        <v>1878</v>
      </c>
      <c r="D14" s="852"/>
      <c r="E14" s="852"/>
      <c r="F14" s="993"/>
      <c r="G14" s="993"/>
      <c r="H14" s="993"/>
    </row>
    <row customHeight="1" ht="117">
      <c r="A15" s="852" t="s">
        <v>1879</v>
      </c>
      <c r="B15" s="852"/>
      <c r="C15" s="852" t="s">
        <v>1880</v>
      </c>
      <c r="D15" s="852"/>
      <c r="E15" s="852"/>
      <c r="F15" s="993"/>
      <c r="G15" s="993"/>
      <c r="H15" s="993"/>
    </row>
    <row customHeight="1" ht="63">
      <c r="A16" s="852" t="s">
        <v>1881</v>
      </c>
      <c r="B16" s="852"/>
      <c r="C16" s="852" t="s">
        <v>1882</v>
      </c>
      <c r="D16" s="852"/>
      <c r="E16" s="852"/>
      <c r="F16" s="993"/>
      <c r="G16" s="993"/>
      <c r="H16" s="993"/>
    </row>
    <row customHeight="1" ht="54">
      <c r="A17" s="852" t="s">
        <v>1883</v>
      </c>
      <c r="B17" s="852"/>
      <c r="C17" s="991" t="s">
        <v>1884</v>
      </c>
      <c r="D17" s="852"/>
      <c r="E17" s="852"/>
      <c r="F17" s="993"/>
      <c r="G17" s="993"/>
      <c r="H17" s="993"/>
    </row>
    <row customHeight="1" ht="27">
      <c r="A18" s="852" t="s">
        <v>1885</v>
      </c>
      <c r="B18" s="852"/>
      <c r="C18" s="991" t="s">
        <v>1886</v>
      </c>
      <c r="D18" s="852"/>
      <c r="E18" s="852"/>
      <c r="F18" s="993"/>
      <c r="G18" s="993"/>
      <c r="H18" s="993"/>
    </row>
    <row customHeight="1" ht="54">
      <c r="A19" s="852" t="s">
        <v>1887</v>
      </c>
      <c r="B19" s="852"/>
      <c r="C19" s="991" t="s">
        <v>1888</v>
      </c>
      <c r="D19" s="852"/>
      <c r="E19" s="852"/>
      <c r="F19" s="993"/>
      <c r="G19" s="993"/>
      <c r="H19" s="993"/>
    </row>
    <row customHeight="1" ht="36">
      <c r="A20" s="852" t="s">
        <v>1889</v>
      </c>
      <c r="B20" s="852"/>
      <c r="C20" s="991" t="s">
        <v>1890</v>
      </c>
      <c r="D20" s="852"/>
      <c r="E20" s="852"/>
      <c r="F20" s="993"/>
      <c r="G20" s="993"/>
      <c r="H20" s="993"/>
    </row>
    <row customHeight="1" ht="36">
      <c r="A21" s="852" t="s">
        <v>1891</v>
      </c>
      <c r="B21" s="852"/>
      <c r="C21" s="991" t="s">
        <v>1892</v>
      </c>
      <c r="D21" s="852"/>
      <c r="E21" s="852"/>
      <c r="F21" s="993"/>
      <c r="G21" s="993"/>
      <c r="H21" s="993"/>
    </row>
    <row customHeight="1" ht="27">
      <c r="A22" s="852" t="s">
        <v>1893</v>
      </c>
      <c r="B22" s="852"/>
      <c r="C22" s="991" t="s">
        <v>1894</v>
      </c>
      <c r="D22" s="852"/>
      <c r="E22" s="852"/>
      <c r="F22" s="993"/>
      <c r="G22" s="993"/>
      <c r="H22" s="993"/>
    </row>
    <row customHeight="1" ht="36">
      <c r="A23" s="852" t="s">
        <v>1895</v>
      </c>
      <c r="B23" s="852"/>
      <c r="C23" s="991" t="s">
        <v>1896</v>
      </c>
      <c r="D23" s="852"/>
      <c r="E23" s="852"/>
      <c r="F23" s="993"/>
      <c r="G23" s="993"/>
      <c r="H23" s="993"/>
    </row>
    <row customHeight="1" ht="28.5">
      <c r="A24" s="852" t="s">
        <v>1897</v>
      </c>
      <c r="B24" s="852"/>
      <c r="C24" s="991" t="s">
        <v>1898</v>
      </c>
      <c r="D24" s="852"/>
      <c r="E24" s="852"/>
      <c r="F24" s="993"/>
      <c r="G24" s="993"/>
      <c r="H24" s="993"/>
    </row>
    <row customHeight="1" ht="36">
      <c r="A25" s="852" t="s">
        <v>1899</v>
      </c>
      <c r="B25" s="852"/>
      <c r="C25" s="991" t="s">
        <v>1900</v>
      </c>
      <c r="D25" s="852"/>
      <c r="E25" s="852"/>
      <c r="F25" s="993"/>
      <c r="G25" s="993"/>
      <c r="H25" s="993"/>
    </row>
    <row customHeight="1" ht="27">
      <c r="A26" s="852" t="s">
        <v>1901</v>
      </c>
      <c r="B26" s="852"/>
      <c r="C26" s="991" t="s">
        <v>1902</v>
      </c>
      <c r="D26" s="852"/>
      <c r="E26" s="852"/>
      <c r="F26" s="993"/>
      <c r="G26" s="993"/>
      <c r="H26" s="993"/>
    </row>
    <row customHeight="1" ht="36">
      <c r="A27" s="852" t="s">
        <v>1903</v>
      </c>
      <c r="B27" s="852"/>
      <c r="C27" s="991" t="s">
        <v>1904</v>
      </c>
      <c r="D27" s="852"/>
      <c r="E27" s="852"/>
      <c r="F27" s="993"/>
      <c r="G27" s="993"/>
      <c r="H27" s="993"/>
    </row>
    <row customHeight="1" ht="28.5">
      <c r="A28" s="852" t="s">
        <v>1905</v>
      </c>
      <c r="B28" s="852"/>
      <c r="C28" s="991" t="s">
        <v>1906</v>
      </c>
      <c r="D28" s="852"/>
      <c r="E28" s="852"/>
      <c r="F28" s="993"/>
      <c r="G28" s="993"/>
      <c r="H28" s="993"/>
    </row>
    <row customHeight="1" ht="126">
      <c r="A29" s="852" t="s">
        <v>1907</v>
      </c>
      <c r="B29" s="852" t="s">
        <v>1575</v>
      </c>
      <c r="C29" s="991"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52" t="s">
        <v>1908</v>
      </c>
      <c r="E29" s="855"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93"/>
      <c r="G29" s="993"/>
      <c r="H29" s="852" t="s">
        <v>1909</v>
      </c>
    </row>
    <row customHeight="1" ht="36">
      <c r="A30" s="852" t="s">
        <v>1910</v>
      </c>
      <c r="B30" s="852"/>
      <c r="C30" s="991"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52" t="s">
        <v>1911</v>
      </c>
      <c r="E30" s="855"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93"/>
      <c r="G30" s="993"/>
      <c r="H30" s="993"/>
    </row>
    <row customHeight="1" ht="54">
      <c r="A31" s="852" t="s">
        <v>1912</v>
      </c>
      <c r="B31" s="852"/>
      <c r="C31" s="991"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52" t="s">
        <v>1913</v>
      </c>
      <c r="E31" s="85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93"/>
      <c r="G31" s="993"/>
      <c r="H31" s="993"/>
    </row>
    <row customHeight="1" ht="198">
      <c r="A32" s="852" t="s">
        <v>1914</v>
      </c>
      <c r="B32" s="852"/>
      <c r="C32" s="991"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52" t="s">
        <v>1915</v>
      </c>
      <c r="E32" s="855"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93"/>
      <c r="G32" s="993"/>
      <c r="H32" s="852" t="s">
        <v>1916</v>
      </c>
    </row>
    <row customHeight="1" ht="9">
      <c r="A33" s="852"/>
      <c r="B33" s="852"/>
      <c r="C33" s="991"/>
      <c r="D33" s="852"/>
      <c r="E33" s="852"/>
      <c r="F33" s="993"/>
      <c r="G33" s="993"/>
      <c r="H33" s="993"/>
    </row>
    <row customHeight="1" ht="9">
      <c r="A34" s="852"/>
      <c r="B34" s="852" t="s">
        <v>1511</v>
      </c>
      <c r="C34" s="991">
        <f>INDEX(TEMPLATE_NAME_FORM_LIST,B34,MATCH(TEMPLATE_SPHERE,TEMPLATE_SPHERE_LIST,0))</f>
        <v>0</v>
      </c>
      <c r="D34" s="852"/>
      <c r="E34" s="852"/>
      <c r="F34" s="993"/>
      <c r="G34" s="993"/>
      <c r="H34" s="993"/>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67358E8-1485-44B5-9927-D4A0A564606F}" mc:Ignorable="x14ac xr xr2 xr3">
  <sheetPr>
    <tabColor rgb="FFFFCC99"/>
  </sheetPr>
  <dimension ref="A1:AH154"/>
  <sheetViews>
    <sheetView topLeftCell="A1" showGridLines="0" workbookViewId="0">
      <selection activeCell="A1" sqref="A1"/>
    </sheetView>
  </sheetViews>
  <sheetFormatPr defaultColWidth="9.140625" customHeight="1" defaultRowHeight="9"/>
  <cols>
    <col min="1" max="2" style="5192" width="9.140625"/>
    <col min="3" max="7" style="5236" width="8.00390625" customWidth="1"/>
    <col min="8" max="12" style="5236" width="8.57421875" customWidth="1"/>
    <col min="13" max="14" style="5236" width="27.7109375" customWidth="1"/>
    <col min="15" max="19" style="5236" width="5.140625" customWidth="1"/>
    <col min="20" max="24" style="5236" width="27.7109375" customWidth="1"/>
    <col min="25" max="25" style="5237" width="1.8515625" customWidth="1"/>
    <col min="26" max="26" style="5192" width="27.7109375" customWidth="1"/>
    <col min="27" max="27" style="5238" width="27.7109375" customWidth="1"/>
    <col min="28" max="29" style="5192" width="27.7109375" customWidth="1"/>
    <col min="30" max="30" style="5192" width="3.8515625" customWidth="1"/>
    <col min="31" max="34" style="5192" width="9.140625"/>
  </cols>
  <sheetData>
    <row s="5194" customFormat="1" customHeight="1" ht="18">
      <c r="A1" s="904"/>
      <c r="B1" s="904"/>
      <c r="C1" s="904" t="s">
        <v>1917</v>
      </c>
      <c r="D1" s="904"/>
      <c r="E1" s="904"/>
      <c r="F1" s="904"/>
      <c r="G1" s="904"/>
      <c r="H1" s="904" t="s">
        <v>1918</v>
      </c>
      <c r="I1" s="904"/>
      <c r="J1" s="904"/>
      <c r="K1" s="904"/>
      <c r="L1" s="904"/>
      <c r="M1" s="904" t="s">
        <v>1919</v>
      </c>
      <c r="N1" s="904" t="s">
        <v>1920</v>
      </c>
      <c r="O1" s="2424" t="s">
        <v>1921</v>
      </c>
      <c r="P1" s="2424"/>
      <c r="Q1" s="2424"/>
      <c r="R1" s="2424"/>
      <c r="S1" s="2424"/>
      <c r="T1" s="2424" t="s">
        <v>1919</v>
      </c>
      <c r="U1" s="2424"/>
      <c r="V1" s="2424"/>
      <c r="W1" s="2424"/>
      <c r="X1" s="2424"/>
      <c r="Y1" s="1006"/>
      <c r="Z1" s="2424" t="s">
        <v>1922</v>
      </c>
      <c r="AA1" s="2424"/>
      <c r="AB1" s="2424"/>
      <c r="AC1" s="2424"/>
      <c r="AD1" s="2424"/>
    </row>
    <row customHeight="1" ht="18">
      <c r="A2" s="852"/>
      <c r="B2" s="852"/>
      <c r="C2" s="847" t="s">
        <v>709</v>
      </c>
      <c r="D2" s="847" t="s">
        <v>755</v>
      </c>
      <c r="E2" s="847" t="s">
        <v>807</v>
      </c>
      <c r="F2" s="847" t="s">
        <v>793</v>
      </c>
      <c r="G2" s="847" t="s">
        <v>1623</v>
      </c>
      <c r="H2" s="849"/>
      <c r="I2" s="849"/>
      <c r="J2" s="849"/>
      <c r="K2" s="849"/>
      <c r="L2" s="849"/>
      <c r="M2" s="849"/>
      <c r="N2" s="849"/>
      <c r="O2" s="847" t="s">
        <v>709</v>
      </c>
      <c r="P2" s="847" t="s">
        <v>755</v>
      </c>
      <c r="Q2" s="847" t="s">
        <v>793</v>
      </c>
      <c r="R2" s="847" t="s">
        <v>807</v>
      </c>
      <c r="S2" s="847" t="s">
        <v>1623</v>
      </c>
      <c r="T2" s="847" t="s">
        <v>709</v>
      </c>
      <c r="U2" s="847" t="s">
        <v>755</v>
      </c>
      <c r="V2" s="847" t="s">
        <v>793</v>
      </c>
      <c r="W2" s="847" t="s">
        <v>807</v>
      </c>
      <c r="X2" s="847" t="s">
        <v>1623</v>
      </c>
      <c r="Y2" s="847"/>
      <c r="Z2" s="847" t="s">
        <v>709</v>
      </c>
      <c r="AA2" s="856" t="s">
        <v>755</v>
      </c>
      <c r="AB2" s="847" t="s">
        <v>793</v>
      </c>
      <c r="AC2" s="847" t="s">
        <v>807</v>
      </c>
      <c r="AD2" s="847" t="s">
        <v>1623</v>
      </c>
    </row>
    <row customHeight="1" ht="162">
      <c r="A3" s="851" t="s">
        <v>22</v>
      </c>
      <c r="B3" s="851"/>
      <c r="C3" s="2428" t="s">
        <v>1923</v>
      </c>
      <c r="D3" s="2429"/>
      <c r="E3" s="2429"/>
      <c r="F3" s="2430"/>
      <c r="G3" s="849"/>
      <c r="H3" s="849"/>
      <c r="I3" s="849"/>
      <c r="J3" s="849"/>
      <c r="K3" s="849"/>
      <c r="L3" s="849"/>
      <c r="M3" s="849"/>
      <c r="N3" s="850"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9"/>
      <c r="P3" s="849"/>
      <c r="Q3" s="849"/>
      <c r="R3" s="849"/>
      <c r="S3" s="849"/>
      <c r="T3" s="849"/>
      <c r="U3" s="849"/>
      <c r="V3" s="849"/>
      <c r="W3" s="849"/>
      <c r="X3" s="849"/>
      <c r="Y3" s="1007"/>
      <c r="Z3" s="852" t="s">
        <v>1924</v>
      </c>
      <c r="AA3" s="849" t="s">
        <v>1925</v>
      </c>
      <c r="AB3" s="852" t="s">
        <v>1926</v>
      </c>
      <c r="AC3" s="852" t="s">
        <v>1927</v>
      </c>
      <c r="AD3" s="852"/>
      <c r="AG3" s="852"/>
      <c r="AH3" s="852"/>
    </row>
    <row customHeight="1" ht="9">
      <c r="A4" s="851"/>
      <c r="B4" s="851"/>
      <c r="C4" s="849"/>
      <c r="D4" s="849"/>
      <c r="E4" s="849"/>
      <c r="F4" s="849"/>
      <c r="G4" s="849"/>
      <c r="H4" s="849"/>
      <c r="I4" s="849"/>
      <c r="J4" s="849"/>
      <c r="K4" s="849"/>
      <c r="L4" s="849"/>
      <c r="M4" s="849"/>
      <c r="N4" s="849"/>
      <c r="O4" s="849"/>
      <c r="P4" s="849"/>
      <c r="Q4" s="849"/>
      <c r="R4" s="849"/>
      <c r="S4" s="849"/>
      <c r="T4" s="849"/>
      <c r="U4" s="849"/>
      <c r="V4" s="849"/>
      <c r="W4" s="849"/>
      <c r="X4" s="849"/>
      <c r="Y4" s="1007"/>
      <c r="Z4" s="852"/>
      <c r="AA4" s="855"/>
      <c r="AB4" s="852"/>
      <c r="AC4" s="852"/>
      <c r="AD4" s="852"/>
    </row>
    <row customHeight="1" ht="9">
      <c r="A5" s="851"/>
      <c r="B5" s="851"/>
      <c r="C5" s="849"/>
      <c r="D5" s="849"/>
      <c r="E5" s="849"/>
      <c r="F5" s="849"/>
      <c r="G5" s="849"/>
      <c r="H5" s="849"/>
      <c r="I5" s="849"/>
      <c r="J5" s="849"/>
      <c r="K5" s="849"/>
      <c r="L5" s="849"/>
      <c r="M5" s="849"/>
      <c r="N5" s="849"/>
      <c r="O5" s="849"/>
      <c r="P5" s="849"/>
      <c r="Q5" s="849"/>
      <c r="R5" s="849"/>
      <c r="S5" s="849"/>
      <c r="T5" s="849"/>
      <c r="U5" s="849"/>
      <c r="V5" s="849"/>
      <c r="W5" s="849"/>
      <c r="X5" s="849"/>
      <c r="Y5" s="1007"/>
      <c r="Z5" s="852"/>
      <c r="AA5" s="855"/>
      <c r="AB5" s="852"/>
      <c r="AC5" s="852"/>
      <c r="AD5" s="852"/>
    </row>
    <row customHeight="1" ht="9">
      <c r="A6" s="851"/>
      <c r="B6" s="851"/>
      <c r="C6" s="849"/>
      <c r="D6" s="849"/>
      <c r="E6" s="849"/>
      <c r="F6" s="849"/>
      <c r="G6" s="849"/>
      <c r="H6" s="849"/>
      <c r="I6" s="849"/>
      <c r="J6" s="849"/>
      <c r="K6" s="849"/>
      <c r="L6" s="849"/>
      <c r="M6" s="849"/>
      <c r="N6" s="849"/>
      <c r="O6" s="849"/>
      <c r="P6" s="849"/>
      <c r="Q6" s="849"/>
      <c r="R6" s="849"/>
      <c r="S6" s="849"/>
      <c r="T6" s="849"/>
      <c r="U6" s="849"/>
      <c r="V6" s="849"/>
      <c r="W6" s="849"/>
      <c r="X6" s="849"/>
      <c r="Y6" s="1007"/>
      <c r="Z6" s="852"/>
      <c r="AA6" s="855"/>
      <c r="AB6" s="852"/>
      <c r="AC6" s="852"/>
      <c r="AD6" s="852"/>
    </row>
    <row customHeight="1" ht="9">
      <c r="A7" s="851"/>
      <c r="B7" s="851"/>
      <c r="C7" s="849"/>
      <c r="D7" s="849"/>
      <c r="E7" s="849"/>
      <c r="F7" s="849"/>
      <c r="G7" s="849"/>
      <c r="H7" s="849"/>
      <c r="I7" s="849"/>
      <c r="J7" s="849"/>
      <c r="K7" s="849"/>
      <c r="L7" s="849"/>
      <c r="M7" s="849"/>
      <c r="N7" s="849"/>
      <c r="O7" s="849"/>
      <c r="P7" s="849"/>
      <c r="Q7" s="849"/>
      <c r="R7" s="849"/>
      <c r="S7" s="849"/>
      <c r="T7" s="849"/>
      <c r="U7" s="849"/>
      <c r="V7" s="849"/>
      <c r="W7" s="849"/>
      <c r="X7" s="849"/>
      <c r="Y7" s="1007"/>
      <c r="Z7" s="852"/>
      <c r="AA7" s="855"/>
      <c r="AB7" s="852"/>
      <c r="AC7" s="852"/>
      <c r="AD7" s="852"/>
    </row>
    <row customHeight="1" ht="9">
      <c r="A8" s="851"/>
      <c r="B8" s="851"/>
      <c r="C8" s="849"/>
      <c r="D8" s="849"/>
      <c r="E8" s="849"/>
      <c r="F8" s="849"/>
      <c r="G8" s="849"/>
      <c r="H8" s="849"/>
      <c r="I8" s="849"/>
      <c r="J8" s="849"/>
      <c r="K8" s="849"/>
      <c r="L8" s="849"/>
      <c r="M8" s="849"/>
      <c r="N8" s="849"/>
      <c r="O8" s="849"/>
      <c r="P8" s="849"/>
      <c r="Q8" s="849"/>
      <c r="R8" s="849"/>
      <c r="S8" s="849"/>
      <c r="T8" s="849"/>
      <c r="U8" s="849"/>
      <c r="V8" s="849"/>
      <c r="W8" s="849"/>
      <c r="X8" s="849"/>
      <c r="Y8" s="1007"/>
      <c r="Z8" s="852"/>
      <c r="AA8" s="855"/>
      <c r="AB8" s="852"/>
      <c r="AC8" s="852"/>
      <c r="AD8" s="852"/>
    </row>
    <row customHeight="1" ht="9">
      <c r="A9" s="851"/>
      <c r="B9" s="851"/>
      <c r="C9" s="849"/>
      <c r="D9" s="849"/>
      <c r="E9" s="849"/>
      <c r="F9" s="849"/>
      <c r="G9" s="849"/>
      <c r="H9" s="849"/>
      <c r="I9" s="849"/>
      <c r="J9" s="849"/>
      <c r="K9" s="849"/>
      <c r="L9" s="849"/>
      <c r="M9" s="849"/>
      <c r="N9" s="849"/>
      <c r="O9" s="849"/>
      <c r="P9" s="849"/>
      <c r="Q9" s="849"/>
      <c r="R9" s="849"/>
      <c r="S9" s="849"/>
      <c r="T9" s="849"/>
      <c r="U9" s="849"/>
      <c r="V9" s="849"/>
      <c r="W9" s="849"/>
      <c r="X9" s="849"/>
      <c r="Y9" s="1007"/>
      <c r="Z9" s="852"/>
      <c r="AA9" s="855"/>
      <c r="AB9" s="852"/>
      <c r="AC9" s="852"/>
      <c r="AD9" s="852"/>
    </row>
    <row customHeight="1" ht="9">
      <c r="A10" s="905"/>
      <c r="B10" s="905"/>
      <c r="C10" s="905"/>
      <c r="D10" s="905"/>
      <c r="E10" s="905"/>
      <c r="F10" s="905"/>
      <c r="G10" s="905"/>
      <c r="H10" s="905"/>
      <c r="I10" s="905"/>
      <c r="J10" s="905"/>
      <c r="K10" s="905"/>
      <c r="L10" s="905"/>
      <c r="M10" s="905"/>
      <c r="N10" s="905"/>
      <c r="O10" s="905"/>
      <c r="P10" s="905"/>
      <c r="Q10" s="905"/>
      <c r="R10" s="905"/>
      <c r="S10" s="905"/>
      <c r="T10" s="905"/>
      <c r="U10" s="905"/>
      <c r="V10" s="905"/>
      <c r="W10" s="905"/>
      <c r="X10" s="905"/>
      <c r="Y10" s="905"/>
      <c r="Z10" s="905"/>
      <c r="AA10" s="905"/>
      <c r="AB10" s="905"/>
      <c r="AC10" s="905"/>
      <c r="AD10" s="905"/>
    </row>
    <row customHeight="1" ht="45">
      <c r="A11" s="2425" t="s">
        <v>29</v>
      </c>
      <c r="B11" s="905">
        <v>1</v>
      </c>
      <c r="C11" s="2431" t="s">
        <v>1562</v>
      </c>
      <c r="D11" s="2431" t="s">
        <v>1558</v>
      </c>
      <c r="E11" s="2431" t="s">
        <v>1656</v>
      </c>
      <c r="F11" s="2431" t="s">
        <v>1928</v>
      </c>
      <c r="G11" s="2431"/>
      <c r="H11" s="904" t="s">
        <v>1929</v>
      </c>
      <c r="I11" s="904"/>
      <c r="J11" s="904"/>
      <c r="K11" s="904"/>
      <c r="L11" s="904"/>
      <c r="M11" s="850" t="str">
        <f>IF(TEMPLATE_SPHERE="HEAT",T11,U11)</f>
        <v>Количество поданных заявок</v>
      </c>
      <c r="N11" s="850"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9"/>
      <c r="P11" s="849"/>
      <c r="Q11" s="849"/>
      <c r="R11" s="849"/>
      <c r="S11" s="849"/>
      <c r="T11" s="849" t="s">
        <v>1930</v>
      </c>
      <c r="U11" s="849" t="s">
        <v>1931</v>
      </c>
      <c r="V11" s="849"/>
      <c r="W11" s="849"/>
      <c r="X11" s="849"/>
      <c r="Y11" s="1007"/>
      <c r="Z11" s="852" t="s">
        <v>1932</v>
      </c>
      <c r="AA11" s="855"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52"/>
      <c r="AC11" s="852"/>
      <c r="AD11" s="852"/>
    </row>
    <row customHeight="1" ht="45">
      <c r="A12" s="2425"/>
      <c r="B12" s="905">
        <v>2</v>
      </c>
      <c r="C12" s="2432"/>
      <c r="D12" s="2432"/>
      <c r="E12" s="2432"/>
      <c r="F12" s="2432"/>
      <c r="G12" s="2432"/>
      <c r="H12" s="904" t="s">
        <v>1933</v>
      </c>
      <c r="I12" s="904"/>
      <c r="J12" s="904"/>
      <c r="K12" s="904"/>
      <c r="L12" s="904"/>
      <c r="M12" s="850" t="str">
        <f>IF(TEMPLATE_SPHERE="HEAT",T12,U12)</f>
        <v>Количество рассмотренных заявок</v>
      </c>
      <c r="N12" s="850"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9"/>
      <c r="P12" s="849"/>
      <c r="Q12" s="849"/>
      <c r="R12" s="849"/>
      <c r="S12" s="849"/>
      <c r="T12" s="849" t="s">
        <v>1934</v>
      </c>
      <c r="U12" s="849" t="s">
        <v>1935</v>
      </c>
      <c r="V12" s="849"/>
      <c r="W12" s="849"/>
      <c r="X12" s="849"/>
      <c r="Y12" s="1007"/>
      <c r="Z12" s="852" t="s">
        <v>1936</v>
      </c>
      <c r="AA12" s="855"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52"/>
      <c r="AC12" s="852"/>
      <c r="AD12" s="852"/>
    </row>
    <row customHeight="1" ht="72">
      <c r="A13" s="2425"/>
      <c r="B13" s="905">
        <v>3</v>
      </c>
      <c r="C13" s="2432"/>
      <c r="D13" s="2432"/>
      <c r="E13" s="2432"/>
      <c r="F13" s="2432"/>
      <c r="G13" s="2432"/>
      <c r="H13" s="2424" t="s">
        <v>1937</v>
      </c>
      <c r="I13" s="904"/>
      <c r="J13" s="904"/>
      <c r="K13" s="904"/>
      <c r="L13" s="904"/>
      <c r="M13" s="850"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50" t="str">
        <f>IF(TEMPLATE_SPHERE="HEAT",Z13,AA13)</f>
        <v>Указывается количество заявок с решением об отказе в течение отчетного квартала.</v>
      </c>
      <c r="O13" s="849"/>
      <c r="P13" s="850"/>
      <c r="Q13" s="850"/>
      <c r="R13" s="850"/>
      <c r="S13" s="849"/>
      <c r="T13" s="849" t="s">
        <v>1938</v>
      </c>
      <c r="U13" s="850" t="s">
        <v>1939</v>
      </c>
      <c r="V13" s="850"/>
      <c r="W13" s="850"/>
      <c r="X13" s="849"/>
      <c r="Y13" s="1007"/>
      <c r="Z13" s="852" t="s">
        <v>1940</v>
      </c>
      <c r="AA13" s="855"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52"/>
      <c r="AC13" s="852"/>
      <c r="AD13" s="852"/>
    </row>
    <row customHeight="1" ht="45">
      <c r="A14" s="2425"/>
      <c r="B14" s="905">
        <v>4</v>
      </c>
      <c r="C14" s="2432"/>
      <c r="D14" s="2432"/>
      <c r="E14" s="2432"/>
      <c r="F14" s="2432"/>
      <c r="G14" s="2432"/>
      <c r="H14" s="2424"/>
      <c r="I14" s="907"/>
      <c r="J14" s="907"/>
      <c r="K14" s="907"/>
      <c r="L14" s="907"/>
      <c r="M14" s="853" t="str">
        <f>IF(TEMPLATE_SPHERE="HEAT",T14,U14)</f>
        <v>Причины отказа в заключении договора о подключении (технологическом присоединении) к системе теплоснабжения</v>
      </c>
      <c r="N14" s="850"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9"/>
      <c r="P14" s="850"/>
      <c r="Q14" s="850"/>
      <c r="R14" s="850"/>
      <c r="S14" s="849"/>
      <c r="T14" s="849" t="s">
        <v>1941</v>
      </c>
      <c r="U14" s="850"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50"/>
      <c r="W14" s="850"/>
      <c r="X14" s="849"/>
      <c r="Y14" s="1007"/>
      <c r="Z14" s="852" t="s">
        <v>1942</v>
      </c>
      <c r="AA14" s="855" t="s">
        <v>1942</v>
      </c>
      <c r="AB14" s="852"/>
      <c r="AC14" s="852"/>
      <c r="AD14" s="852"/>
    </row>
    <row customHeight="1" ht="108">
      <c r="A15" s="2425"/>
      <c r="B15" s="905">
        <v>5</v>
      </c>
      <c r="C15" s="2432"/>
      <c r="D15" s="2432"/>
      <c r="E15" s="2432"/>
      <c r="F15" s="2432"/>
      <c r="G15" s="2432"/>
      <c r="H15" s="2426" t="s">
        <v>1943</v>
      </c>
      <c r="I15" s="906"/>
      <c r="J15" s="906"/>
      <c r="K15" s="906"/>
      <c r="L15" s="906"/>
      <c r="M15" s="855" t="str">
        <f>IF(TEMPLATE_SPHERE="HEAT",T15,U15)</f>
        <v>Резерв мощности источников тепловой энергии, входящих в систему теплоснабжения, в течение одного квартала, в том числе:</v>
      </c>
      <c r="N15" s="854"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9"/>
      <c r="P15" s="850"/>
      <c r="Q15" s="850"/>
      <c r="R15" s="850"/>
      <c r="S15" s="849"/>
      <c r="T15" s="849" t="s">
        <v>1944</v>
      </c>
      <c r="U15" s="850"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50"/>
      <c r="W15" s="850"/>
      <c r="X15" s="849"/>
      <c r="Y15" s="1007"/>
      <c r="Z15" s="852" t="s">
        <v>1945</v>
      </c>
      <c r="AA15" s="855"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52"/>
      <c r="AC15" s="852"/>
      <c r="AD15" s="852"/>
    </row>
    <row customHeight="1" ht="108">
      <c r="A16" s="905"/>
      <c r="B16" s="905">
        <v>6</v>
      </c>
      <c r="C16" s="2433"/>
      <c r="D16" s="2433"/>
      <c r="E16" s="2433"/>
      <c r="F16" s="2433"/>
      <c r="G16" s="2433"/>
      <c r="H16" s="2427"/>
      <c r="I16" s="969"/>
      <c r="J16" s="969"/>
      <c r="K16" s="969"/>
      <c r="L16" s="969"/>
      <c r="M16" s="898"/>
      <c r="N16" s="854"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9"/>
      <c r="P16" s="850"/>
      <c r="Q16" s="850"/>
      <c r="R16" s="850"/>
      <c r="S16" s="849"/>
      <c r="T16" s="849"/>
      <c r="U16" s="850"/>
      <c r="V16" s="850"/>
      <c r="W16" s="850"/>
      <c r="X16" s="849"/>
      <c r="Y16" s="1007"/>
      <c r="Z16" s="852" t="s">
        <v>1945</v>
      </c>
      <c r="AA16" s="855"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52"/>
      <c r="AC16" s="852"/>
      <c r="AD16" s="852"/>
    </row>
    <row customHeight="1" ht="9">
      <c r="A17" s="905"/>
      <c r="B17" s="905"/>
      <c r="C17" s="905">
        <v>22</v>
      </c>
      <c r="D17" s="905">
        <v>21</v>
      </c>
      <c r="E17" s="905">
        <v>42</v>
      </c>
      <c r="F17" s="905">
        <v>63</v>
      </c>
      <c r="G17" s="905"/>
      <c r="H17" s="905"/>
      <c r="I17" s="905"/>
      <c r="J17" s="905"/>
      <c r="K17" s="905"/>
      <c r="L17" s="905"/>
      <c r="M17" s="905"/>
      <c r="N17" s="905"/>
      <c r="O17" s="905"/>
      <c r="P17" s="905"/>
      <c r="Q17" s="905"/>
      <c r="R17" s="905"/>
      <c r="S17" s="905"/>
      <c r="T17" s="905"/>
      <c r="U17" s="905"/>
      <c r="V17" s="905"/>
      <c r="W17" s="905"/>
      <c r="X17" s="905"/>
      <c r="Y17" s="905"/>
      <c r="Z17" s="905"/>
      <c r="AA17" s="905"/>
      <c r="AB17" s="905"/>
      <c r="AC17" s="905"/>
      <c r="AD17" s="905"/>
    </row>
    <row customHeight="1" ht="27">
      <c r="A18" s="851" t="s">
        <v>1659</v>
      </c>
      <c r="B18" s="905">
        <v>1</v>
      </c>
      <c r="C18" s="849" t="s">
        <v>1929</v>
      </c>
      <c r="D18" s="974" t="s">
        <v>1929</v>
      </c>
      <c r="E18" s="849" t="s">
        <v>1929</v>
      </c>
      <c r="F18" s="849" t="s">
        <v>1929</v>
      </c>
      <c r="G18" s="849"/>
      <c r="H18" s="1009"/>
      <c r="I18" s="1012">
        <f>INDEX(TEMPLATE_NUMBER_POINT_FHD,B18,MATCH(TEMPLATE_SPHERE,TEMPLATE_SPHERE_LIST_FOR_NOTE,0))</f>
        <v>1</v>
      </c>
      <c r="J18" s="1012" t="str">
        <f>INDEX(TEMPLATE_DATA_POINT_FHD,B18,MATCH(TEMPLATE_SPHERE,TEMPLATE_SPHERE_LIST_FOR_NOTE,0))</f>
        <v>Выручка от регулируемого вида деятельности с распределением по видам деятельности</v>
      </c>
      <c r="K18" s="1012"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50">
        <f>IF(I18=0,"",I18)</f>
        <v>1</v>
      </c>
      <c r="M18" s="850" t="str">
        <f>IF(J18=0,"",J18)</f>
        <v>Выручка от регулируемого вида деятельности с распределением по видам деятельности</v>
      </c>
      <c r="N18" s="850" t="str">
        <f>IF(K18=0,"",K18)</f>
        <v>Указывается выручка от регулируемого вида деятельности с распределением по видам деятельности.</v>
      </c>
      <c r="O18" s="964">
        <v>1</v>
      </c>
      <c r="P18" s="964">
        <v>1</v>
      </c>
      <c r="Q18" s="964">
        <v>1</v>
      </c>
      <c r="R18" s="964">
        <v>1</v>
      </c>
      <c r="S18" s="964"/>
      <c r="T18" s="971" t="s">
        <v>1946</v>
      </c>
      <c r="U18" s="852" t="s">
        <v>1947</v>
      </c>
      <c r="V18" s="852" t="s">
        <v>1948</v>
      </c>
      <c r="W18" s="852" t="s">
        <v>1949</v>
      </c>
      <c r="X18" s="849"/>
      <c r="Y18" s="1007"/>
      <c r="Z18" s="852" t="s">
        <v>1950</v>
      </c>
      <c r="AA18" s="855" t="s">
        <v>1951</v>
      </c>
      <c r="AB18" s="855" t="s">
        <v>1951</v>
      </c>
      <c r="AC18" s="855" t="s">
        <v>1951</v>
      </c>
      <c r="AD18" s="852"/>
    </row>
    <row customHeight="1" ht="36">
      <c r="A19" s="851"/>
      <c r="B19" s="905">
        <v>2</v>
      </c>
      <c r="C19" s="849" t="s">
        <v>1933</v>
      </c>
      <c r="D19" s="974" t="s">
        <v>1933</v>
      </c>
      <c r="E19" s="849" t="s">
        <v>1933</v>
      </c>
      <c r="F19" s="849" t="s">
        <v>1933</v>
      </c>
      <c r="G19" s="849"/>
      <c r="H19" s="1009"/>
      <c r="I19" s="1012">
        <f>INDEX(TEMPLATE_NUMBER_POINT_FHD,B19,MATCH(TEMPLATE_SPHERE,TEMPLATE_SPHERE_LIST_FOR_NOTE,0))</f>
        <v>2</v>
      </c>
      <c r="J19" s="1012"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12" t="str">
        <f>INDEX(TEMPLATE_NOTE_POINT_FHD,B19,MATCH(TEMPLATE_SPHERE,TEMPLATE_SPHERE_LIST_FOR_NOTE,0))</f>
        <v>Указывается суммарная себестоимость производимых товаров.</v>
      </c>
      <c r="L19" s="850">
        <f>IF(I19=0,"",I19)</f>
        <v>2</v>
      </c>
      <c r="M19" s="850" t="str">
        <f>IF(J19=0,"",J19)</f>
        <v>Себестоимость производимых товаров (оказываемых услуг) по регулируемому виду деятельности, включая:</v>
      </c>
      <c r="N19" s="850" t="str">
        <f>IF(K19=0,"",K19)</f>
        <v>Указывается суммарная себестоимость производимых товаров.</v>
      </c>
      <c r="O19" s="964">
        <v>2</v>
      </c>
      <c r="P19" s="964">
        <v>2</v>
      </c>
      <c r="Q19" s="964">
        <v>2</v>
      </c>
      <c r="R19" s="964">
        <v>2</v>
      </c>
      <c r="S19" s="964"/>
      <c r="T19" s="971" t="s">
        <v>1952</v>
      </c>
      <c r="U19" s="852" t="s">
        <v>1953</v>
      </c>
      <c r="V19" s="852" t="s">
        <v>1954</v>
      </c>
      <c r="W19" s="852" t="s">
        <v>1955</v>
      </c>
      <c r="X19" s="849"/>
      <c r="Y19" s="1007"/>
      <c r="Z19" s="852" t="s">
        <v>1956</v>
      </c>
      <c r="AA19" s="855" t="s">
        <v>1956</v>
      </c>
      <c r="AB19" s="855" t="s">
        <v>1956</v>
      </c>
      <c r="AC19" s="855" t="s">
        <v>1956</v>
      </c>
      <c r="AD19" s="852"/>
    </row>
    <row customHeight="1" ht="27">
      <c r="A20" s="851"/>
      <c r="B20" s="905">
        <v>3</v>
      </c>
      <c r="C20" s="849">
        <v>1</v>
      </c>
      <c r="D20" s="974"/>
      <c r="E20" s="849"/>
      <c r="F20" s="849"/>
      <c r="G20" s="849"/>
      <c r="H20" s="1009"/>
      <c r="I20" s="1012" t="str">
        <f>INDEX(TEMPLATE_NUMBER_POINT_FHD,B20,MATCH(TEMPLATE_SPHERE,TEMPLATE_SPHERE_LIST_FOR_NOTE,0))</f>
        <v>2.1</v>
      </c>
      <c r="J20" s="1012" t="str">
        <f>INDEX(TEMPLATE_DATA_POINT_FHD,B20,MATCH(TEMPLATE_SPHERE,TEMPLATE_SPHERE_LIST_FOR_NOTE,0))</f>
        <v>Расходы на приобретаемую тепловую энергию (мощность), теплоноситель</v>
      </c>
      <c r="K20" s="1012">
        <f>INDEX(TEMPLATE_NOTE_POINT_FHD,B20,MATCH(TEMPLATE_SPHERE,TEMPLATE_SPHERE_LIST_FOR_NOTE,0))</f>
        <v>0</v>
      </c>
      <c r="L20" s="850" t="str">
        <f>IF(I20=0,"",I20)</f>
        <v>2.1</v>
      </c>
      <c r="M20" s="850" t="str">
        <f>IF(J20=0,"",J20)</f>
        <v>Расходы на приобретаемую тепловую энергию (мощность), теплоноситель</v>
      </c>
      <c r="N20" s="850" t="str">
        <f>IF(K20=0,"",K20)</f>
        <v/>
      </c>
      <c r="O20" s="964" t="s">
        <v>609</v>
      </c>
      <c r="P20" s="964" t="s">
        <v>609</v>
      </c>
      <c r="Q20" s="964" t="s">
        <v>609</v>
      </c>
      <c r="R20" s="964" t="s">
        <v>609</v>
      </c>
      <c r="S20" s="964"/>
      <c r="T20" s="971" t="s">
        <v>1957</v>
      </c>
      <c r="U20" s="852" t="s">
        <v>1958</v>
      </c>
      <c r="V20" s="852" t="s">
        <v>1959</v>
      </c>
      <c r="W20" s="852" t="s">
        <v>1960</v>
      </c>
      <c r="X20" s="849"/>
      <c r="Y20" s="1007"/>
      <c r="Z20" s="852"/>
      <c r="AA20" s="855"/>
      <c r="AB20" s="852"/>
      <c r="AC20" s="852"/>
      <c r="AD20" s="852"/>
    </row>
    <row customHeight="1" ht="36">
      <c r="A21" s="851"/>
      <c r="B21" s="905">
        <v>4</v>
      </c>
      <c r="C21" s="849">
        <v>2</v>
      </c>
      <c r="D21" s="974"/>
      <c r="E21" s="849"/>
      <c r="F21" s="849"/>
      <c r="G21" s="849"/>
      <c r="H21" s="1009"/>
      <c r="I21" s="1012" t="str">
        <f>INDEX(TEMPLATE_NUMBER_POINT_FHD,B21,MATCH(TEMPLATE_SPHERE,TEMPLATE_SPHERE_LIST_FOR_NOTE,0))</f>
        <v>2.2</v>
      </c>
      <c r="J21" s="1012"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12" t="str">
        <f>INDEX(TEMPLATE_NOTE_POINT_FHD,B21,MATCH(TEMPLATE_SPHERE,TEMPLATE_SPHERE_LIST_FOR_NOTE,0))</f>
        <v>Указываются суммарные расходы на приобретение топлива всех видов.</v>
      </c>
      <c r="L21" s="850" t="str">
        <f>IF(I21=0,"",I21)</f>
        <v>2.2</v>
      </c>
      <c r="M21" s="850"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50" t="str">
        <f>IF(K21=0,"",K21)</f>
        <v>Указываются суммарные расходы на приобретение топлива всех видов.</v>
      </c>
      <c r="O21" s="964" t="s">
        <v>298</v>
      </c>
      <c r="P21" s="964"/>
      <c r="Q21" s="964"/>
      <c r="R21" s="964"/>
      <c r="S21" s="964"/>
      <c r="T21" s="971" t="s">
        <v>1961</v>
      </c>
      <c r="U21" s="852"/>
      <c r="V21" s="852"/>
      <c r="W21" s="852"/>
      <c r="X21" s="849"/>
      <c r="Y21" s="1007"/>
      <c r="Z21" s="852" t="s">
        <v>1962</v>
      </c>
      <c r="AA21" s="855"/>
      <c r="AB21" s="852"/>
      <c r="AC21" s="852"/>
      <c r="AD21" s="852"/>
    </row>
    <row customHeight="1" ht="36">
      <c r="A22" s="851"/>
      <c r="B22" s="905">
        <v>5</v>
      </c>
      <c r="C22" s="849">
        <v>3</v>
      </c>
      <c r="D22" s="974"/>
      <c r="E22" s="849"/>
      <c r="F22" s="849"/>
      <c r="G22" s="897"/>
      <c r="H22" s="965"/>
      <c r="I22" s="1012">
        <f>INDEX(TEMPLATE_NUMBER_POINT_FHD,B22,MATCH(TEMPLATE_SPHERE,TEMPLATE_SPHERE_LIST_FOR_NOTE,0))</f>
        <v>0</v>
      </c>
      <c r="J22" s="1012">
        <f>INDEX(TEMPLATE_DATA_POINT_FHD,B22,MATCH(TEMPLATE_SPHERE,TEMPLATE_SPHERE_LIST_FOR_NOTE,0))</f>
        <v>0</v>
      </c>
      <c r="K22" s="1012">
        <f>INDEX(TEMPLATE_NOTE_POINT_FHD,B22,MATCH(TEMPLATE_SPHERE,TEMPLATE_SPHERE_LIST_FOR_NOTE,0))</f>
        <v>0</v>
      </c>
      <c r="L22" s="850" t="str">
        <f>IF(I22=0,"",I22)</f>
        <v/>
      </c>
      <c r="M22" s="850" t="str">
        <f>IF(J22=0,"",J22)</f>
        <v/>
      </c>
      <c r="N22" s="850" t="str">
        <f>IF(K22=0,"",K22)</f>
        <v/>
      </c>
      <c r="O22" s="964"/>
      <c r="P22" s="964"/>
      <c r="Q22" s="964" t="s">
        <v>298</v>
      </c>
      <c r="R22" s="964"/>
      <c r="S22" s="964"/>
      <c r="T22" s="971"/>
      <c r="U22" s="852"/>
      <c r="V22" s="852" t="s">
        <v>1963</v>
      </c>
      <c r="W22" s="852"/>
      <c r="X22" s="849"/>
      <c r="Y22" s="1007"/>
      <c r="Z22" s="852"/>
      <c r="AA22" s="855"/>
      <c r="AB22" s="852"/>
      <c r="AC22" s="852"/>
      <c r="AD22" s="852"/>
    </row>
    <row customHeight="1" ht="27">
      <c r="A23" s="851"/>
      <c r="B23" s="905">
        <v>6</v>
      </c>
      <c r="C23" s="849">
        <v>4</v>
      </c>
      <c r="D23" s="974"/>
      <c r="E23" s="849"/>
      <c r="F23" s="849"/>
      <c r="G23" s="897"/>
      <c r="H23" s="965"/>
      <c r="I23" s="1012">
        <f>INDEX(TEMPLATE_NUMBER_POINT_FHD,B23,MATCH(TEMPLATE_SPHERE,TEMPLATE_SPHERE_LIST_FOR_NOTE,0))</f>
        <v>0</v>
      </c>
      <c r="J23" s="1012">
        <f>INDEX(TEMPLATE_DATA_POINT_FHD,B23,MATCH(TEMPLATE_SPHERE,TEMPLATE_SPHERE_LIST_FOR_NOTE,0))</f>
        <v>0</v>
      </c>
      <c r="K23" s="1012">
        <f>INDEX(TEMPLATE_NOTE_POINT_FHD,B23,MATCH(TEMPLATE_SPHERE,TEMPLATE_SPHERE_LIST_FOR_NOTE,0))</f>
        <v>0</v>
      </c>
      <c r="L23" s="850" t="str">
        <f>IF(I23=0,"",I23)</f>
        <v/>
      </c>
      <c r="M23" s="850" t="str">
        <f>IF(J23=0,"",J23)</f>
        <v/>
      </c>
      <c r="N23" s="850" t="str">
        <f>IF(K23=0,"",K23)</f>
        <v/>
      </c>
      <c r="O23" s="964"/>
      <c r="P23" s="964"/>
      <c r="Q23" s="964" t="s">
        <v>301</v>
      </c>
      <c r="R23" s="964"/>
      <c r="S23" s="964"/>
      <c r="T23" s="971"/>
      <c r="U23" s="852"/>
      <c r="V23" s="852" t="s">
        <v>1964</v>
      </c>
      <c r="W23" s="852"/>
      <c r="X23" s="849"/>
      <c r="Y23" s="1007"/>
      <c r="Z23" s="852"/>
      <c r="AA23" s="855"/>
      <c r="AB23" s="852"/>
      <c r="AC23" s="852"/>
      <c r="AD23" s="852"/>
    </row>
    <row customHeight="1" ht="36">
      <c r="A24" s="851"/>
      <c r="B24" s="905">
        <v>7</v>
      </c>
      <c r="C24" s="849">
        <v>5</v>
      </c>
      <c r="D24" s="974"/>
      <c r="E24" s="849"/>
      <c r="F24" s="849"/>
      <c r="G24" s="897"/>
      <c r="H24" s="965"/>
      <c r="I24" s="1012">
        <f>INDEX(TEMPLATE_NUMBER_POINT_FHD,B24,MATCH(TEMPLATE_SPHERE,TEMPLATE_SPHERE_LIST_FOR_NOTE,0))</f>
        <v>0</v>
      </c>
      <c r="J24" s="1012">
        <f>INDEX(TEMPLATE_DATA_POINT_FHD,B24,MATCH(TEMPLATE_SPHERE,TEMPLATE_SPHERE_LIST_FOR_NOTE,0))</f>
        <v>0</v>
      </c>
      <c r="K24" s="1012">
        <f>INDEX(TEMPLATE_NOTE_POINT_FHD,B24,MATCH(TEMPLATE_SPHERE,TEMPLATE_SPHERE_LIST_FOR_NOTE,0))</f>
        <v>0</v>
      </c>
      <c r="L24" s="850" t="str">
        <f>IF(I24=0,"",I24)</f>
        <v/>
      </c>
      <c r="M24" s="850" t="str">
        <f>IF(J24=0,"",J24)</f>
        <v/>
      </c>
      <c r="N24" s="850" t="str">
        <f>IF(K24=0,"",K24)</f>
        <v/>
      </c>
      <c r="O24" s="964"/>
      <c r="P24" s="964"/>
      <c r="Q24" s="964" t="s">
        <v>629</v>
      </c>
      <c r="R24" s="964"/>
      <c r="S24" s="964"/>
      <c r="T24" s="971"/>
      <c r="U24" s="852"/>
      <c r="V24" s="852" t="s">
        <v>1965</v>
      </c>
      <c r="W24" s="852"/>
      <c r="X24" s="849"/>
      <c r="Y24" s="1007"/>
      <c r="Z24" s="852"/>
      <c r="AA24" s="855"/>
      <c r="AB24" s="852"/>
      <c r="AC24" s="852"/>
      <c r="AD24" s="852"/>
    </row>
    <row customHeight="1" ht="36">
      <c r="A25" s="851"/>
      <c r="B25" s="905">
        <v>8</v>
      </c>
      <c r="C25" s="849">
        <v>6</v>
      </c>
      <c r="D25" s="974"/>
      <c r="E25" s="849"/>
      <c r="F25" s="849"/>
      <c r="G25" s="897"/>
      <c r="H25" s="965"/>
      <c r="I25" s="1012" t="str">
        <f>INDEX(TEMPLATE_NUMBER_POINT_FHD,B25,MATCH(TEMPLATE_SPHERE,TEMPLATE_SPHERE_LIST_FOR_NOTE,0))</f>
        <v>2.3</v>
      </c>
      <c r="J25" s="1012"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2">
        <f>INDEX(TEMPLATE_NOTE_POINT_FHD,B25,MATCH(TEMPLATE_SPHERE,TEMPLATE_SPHERE_LIST_FOR_NOTE,0))</f>
        <v>0</v>
      </c>
      <c r="L25" s="850" t="str">
        <f>IF(I25=0,"",I25)</f>
        <v>2.3</v>
      </c>
      <c r="M25" s="850" t="str">
        <f>IF(J25=0,"",J25)</f>
        <v>Расходы на приобретаемую электрическую энергию (мощность), используемую в технологическом процессе</v>
      </c>
      <c r="N25" s="850" t="str">
        <f>IF(K25=0,"",K25)</f>
        <v/>
      </c>
      <c r="O25" s="964" t="s">
        <v>301</v>
      </c>
      <c r="P25" s="964" t="s">
        <v>298</v>
      </c>
      <c r="Q25" s="964" t="s">
        <v>636</v>
      </c>
      <c r="R25" s="964" t="s">
        <v>298</v>
      </c>
      <c r="S25" s="964"/>
      <c r="T25" s="971" t="s">
        <v>1966</v>
      </c>
      <c r="U25" s="852" t="s">
        <v>1966</v>
      </c>
      <c r="V25" s="852" t="s">
        <v>1966</v>
      </c>
      <c r="W25" s="852" t="s">
        <v>1966</v>
      </c>
      <c r="X25" s="849"/>
      <c r="Y25" s="1007"/>
      <c r="Z25" s="852"/>
      <c r="AA25" s="855"/>
      <c r="AB25" s="852"/>
      <c r="AC25" s="852"/>
      <c r="AD25" s="852"/>
    </row>
    <row customHeight="1" ht="18">
      <c r="A26" s="851"/>
      <c r="B26" s="905">
        <v>9</v>
      </c>
      <c r="C26" s="849" t="s">
        <v>805</v>
      </c>
      <c r="D26" s="974"/>
      <c r="E26" s="849"/>
      <c r="F26" s="849"/>
      <c r="G26" s="897"/>
      <c r="H26" s="965"/>
      <c r="I26" s="1012" t="str">
        <f>INDEX(TEMPLATE_NUMBER_POINT_FHD,B26,MATCH(TEMPLATE_SPHERE,TEMPLATE_SPHERE_LIST_FOR_NOTE,0))</f>
        <v>2.3.1</v>
      </c>
      <c r="J26" s="1012" t="str">
        <f>INDEX(TEMPLATE_DATA_POINT_FHD,B26,MATCH(TEMPLATE_SPHERE,TEMPLATE_SPHERE_LIST_FOR_NOTE,0))</f>
        <v>Средневзвешенная стоимость 1 кВт.ч (с учетом мощности)</v>
      </c>
      <c r="K26" s="1012">
        <f>INDEX(TEMPLATE_NOTE_POINT_FHD,B26,MATCH(TEMPLATE_SPHERE,TEMPLATE_SPHERE_LIST_FOR_NOTE,0))</f>
        <v>0</v>
      </c>
      <c r="L26" s="850" t="str">
        <f>IF(I26=0,"",I26)</f>
        <v>2.3.1</v>
      </c>
      <c r="M26" s="850" t="str">
        <f>IF(J26=0,"",J26)</f>
        <v>Средневзвешенная стоимость 1 кВт.ч (с учетом мощности)</v>
      </c>
      <c r="N26" s="850" t="str">
        <f>IF(K26=0,"",K26)</f>
        <v/>
      </c>
      <c r="O26" s="964" t="s">
        <v>625</v>
      </c>
      <c r="P26" s="964" t="s">
        <v>619</v>
      </c>
      <c r="Q26" s="964" t="s">
        <v>1967</v>
      </c>
      <c r="R26" s="964" t="s">
        <v>619</v>
      </c>
      <c r="S26" s="964"/>
      <c r="T26" s="971" t="s">
        <v>1968</v>
      </c>
      <c r="U26" s="971" t="s">
        <v>1968</v>
      </c>
      <c r="V26" s="971" t="s">
        <v>1968</v>
      </c>
      <c r="W26" s="971" t="s">
        <v>1968</v>
      </c>
      <c r="X26" s="849"/>
      <c r="Y26" s="1007"/>
      <c r="Z26" s="852"/>
      <c r="AA26" s="855"/>
      <c r="AB26" s="852"/>
      <c r="AC26" s="852"/>
      <c r="AD26" s="852"/>
    </row>
    <row customHeight="1" ht="18">
      <c r="A27" s="851"/>
      <c r="B27" s="905">
        <v>10</v>
      </c>
      <c r="C27" s="849" t="s">
        <v>1969</v>
      </c>
      <c r="D27" s="974"/>
      <c r="E27" s="849"/>
      <c r="F27" s="849"/>
      <c r="G27" s="897"/>
      <c r="H27" s="965"/>
      <c r="I27" s="1012" t="str">
        <f>INDEX(TEMPLATE_NUMBER_POINT_FHD,B27,MATCH(TEMPLATE_SPHERE,TEMPLATE_SPHERE_LIST_FOR_NOTE,0))</f>
        <v>2.3.2</v>
      </c>
      <c r="J27" s="1012" t="str">
        <f>INDEX(TEMPLATE_DATA_POINT_FHD,B27,MATCH(TEMPLATE_SPHERE,TEMPLATE_SPHERE_LIST_FOR_NOTE,0))</f>
        <v>Объём приобретения электрической энергии</v>
      </c>
      <c r="K27" s="1012">
        <f>INDEX(TEMPLATE_NOTE_POINT_FHD,B27,MATCH(TEMPLATE_SPHERE,TEMPLATE_SPHERE_LIST_FOR_NOTE,0))</f>
        <v>0</v>
      </c>
      <c r="L27" s="850" t="str">
        <f>IF(I27=0,"",I27)</f>
        <v>2.3.2</v>
      </c>
      <c r="M27" s="850" t="str">
        <f>IF(J27=0,"",J27)</f>
        <v>Объём приобретения электрической энергии</v>
      </c>
      <c r="N27" s="850" t="str">
        <f>IF(K27=0,"",K27)</f>
        <v/>
      </c>
      <c r="O27" s="964" t="s">
        <v>627</v>
      </c>
      <c r="P27" s="964" t="s">
        <v>621</v>
      </c>
      <c r="Q27" s="964" t="s">
        <v>1970</v>
      </c>
      <c r="R27" s="964" t="s">
        <v>621</v>
      </c>
      <c r="S27" s="964"/>
      <c r="T27" s="971" t="s">
        <v>1971</v>
      </c>
      <c r="U27" s="971" t="s">
        <v>1971</v>
      </c>
      <c r="V27" s="971" t="s">
        <v>1971</v>
      </c>
      <c r="W27" s="971" t="s">
        <v>1971</v>
      </c>
      <c r="X27" s="849"/>
      <c r="Y27" s="1007"/>
      <c r="Z27" s="852"/>
      <c r="AA27" s="855"/>
      <c r="AB27" s="852"/>
      <c r="AC27" s="852"/>
      <c r="AD27" s="852"/>
    </row>
    <row customHeight="1" ht="27">
      <c r="A28" s="851"/>
      <c r="B28" s="905">
        <v>11</v>
      </c>
      <c r="C28" s="849">
        <v>7</v>
      </c>
      <c r="D28" s="974"/>
      <c r="E28" s="849"/>
      <c r="F28" s="849"/>
      <c r="G28" s="897"/>
      <c r="H28" s="965"/>
      <c r="I28" s="1012" t="str">
        <f>INDEX(TEMPLATE_NUMBER_POINT_FHD,B28,MATCH(TEMPLATE_SPHERE,TEMPLATE_SPHERE_LIST_FOR_NOTE,0))</f>
        <v>2.4</v>
      </c>
      <c r="J28" s="1012" t="str">
        <f>INDEX(TEMPLATE_DATA_POINT_FHD,B28,MATCH(TEMPLATE_SPHERE,TEMPLATE_SPHERE_LIST_FOR_NOTE,0))</f>
        <v>Расходы на приобретение холодной воды, используемой в технологическом процессе</v>
      </c>
      <c r="K28" s="1012">
        <f>INDEX(TEMPLATE_NOTE_POINT_FHD,B28,MATCH(TEMPLATE_SPHERE,TEMPLATE_SPHERE_LIST_FOR_NOTE,0))</f>
        <v>0</v>
      </c>
      <c r="L28" s="850" t="str">
        <f>IF(I28=0,"",I28)</f>
        <v>2.4</v>
      </c>
      <c r="M28" s="850" t="str">
        <f>IF(J28=0,"",J28)</f>
        <v>Расходы на приобретение холодной воды, используемой в технологическом процессе</v>
      </c>
      <c r="N28" s="850" t="str">
        <f>IF(K28=0,"",K28)</f>
        <v/>
      </c>
      <c r="O28" s="964" t="s">
        <v>629</v>
      </c>
      <c r="P28" s="964"/>
      <c r="Q28" s="964"/>
      <c r="R28" s="964"/>
      <c r="S28" s="964"/>
      <c r="T28" s="971" t="s">
        <v>1972</v>
      </c>
      <c r="U28" s="852"/>
      <c r="V28" s="852"/>
      <c r="W28" s="852"/>
      <c r="X28" s="849"/>
      <c r="Y28" s="1007"/>
      <c r="Z28" s="852"/>
      <c r="AA28" s="855"/>
      <c r="AB28" s="852"/>
      <c r="AC28" s="852"/>
      <c r="AD28" s="852"/>
    </row>
    <row customHeight="1" ht="27">
      <c r="A29" s="851"/>
      <c r="B29" s="905">
        <v>12</v>
      </c>
      <c r="C29" s="849">
        <v>8</v>
      </c>
      <c r="D29" s="974"/>
      <c r="E29" s="849"/>
      <c r="F29" s="849"/>
      <c r="G29" s="897"/>
      <c r="H29" s="965"/>
      <c r="I29" s="1012" t="str">
        <f>INDEX(TEMPLATE_NUMBER_POINT_FHD,B29,MATCH(TEMPLATE_SPHERE,TEMPLATE_SPHERE_LIST_FOR_NOTE,0))</f>
        <v>2.5</v>
      </c>
      <c r="J29" s="1012" t="str">
        <f>INDEX(TEMPLATE_DATA_POINT_FHD,B29,MATCH(TEMPLATE_SPHERE,TEMPLATE_SPHERE_LIST_FOR_NOTE,0))</f>
        <v>Расходы на химические реагенты, используемые в технологическом процессе</v>
      </c>
      <c r="K29" s="1012">
        <f>INDEX(TEMPLATE_NOTE_POINT_FHD,B29,MATCH(TEMPLATE_SPHERE,TEMPLATE_SPHERE_LIST_FOR_NOTE,0))</f>
        <v>0</v>
      </c>
      <c r="L29" s="850" t="str">
        <f>IF(I29=0,"",I29)</f>
        <v>2.5</v>
      </c>
      <c r="M29" s="850" t="str">
        <f>IF(J29=0,"",J29)</f>
        <v>Расходы на химические реагенты, используемые в технологическом процессе</v>
      </c>
      <c r="N29" s="850" t="str">
        <f>IF(K29=0,"",K29)</f>
        <v/>
      </c>
      <c r="O29" s="964" t="s">
        <v>636</v>
      </c>
      <c r="P29" s="964" t="s">
        <v>301</v>
      </c>
      <c r="Q29" s="964"/>
      <c r="R29" s="964" t="s">
        <v>301</v>
      </c>
      <c r="S29" s="964"/>
      <c r="T29" s="971" t="s">
        <v>1973</v>
      </c>
      <c r="U29" s="852" t="s">
        <v>1973</v>
      </c>
      <c r="V29" s="852"/>
      <c r="W29" s="852" t="s">
        <v>1973</v>
      </c>
      <c r="X29" s="849"/>
      <c r="Y29" s="1007"/>
      <c r="Z29" s="852"/>
      <c r="AA29" s="855"/>
      <c r="AB29" s="852"/>
      <c r="AC29" s="852"/>
      <c r="AD29" s="852"/>
    </row>
    <row customHeight="1" ht="54">
      <c r="A30" s="851"/>
      <c r="B30" s="905">
        <v>13</v>
      </c>
      <c r="C30" s="849">
        <v>9</v>
      </c>
      <c r="D30" s="974"/>
      <c r="E30" s="849"/>
      <c r="F30" s="849"/>
      <c r="G30" s="897"/>
      <c r="H30" s="965"/>
      <c r="I30" s="1012" t="str">
        <f>INDEX(TEMPLATE_NUMBER_POINT_FHD,B30,MATCH(TEMPLATE_SPHERE,TEMPLATE_SPHERE_LIST_FOR_NOTE,0))</f>
        <v>2.6</v>
      </c>
      <c r="J30" s="1012"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2">
        <f>INDEX(TEMPLATE_NOTE_POINT_FHD,B30,MATCH(TEMPLATE_SPHERE,TEMPLATE_SPHERE_LIST_FOR_NOTE,0))</f>
        <v>0</v>
      </c>
      <c r="L30" s="850" t="str">
        <f>IF(I30=0,"",I30)</f>
        <v>2.6</v>
      </c>
      <c r="M30" s="850"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0" t="str">
        <f>IF(K30=0,"",K30)</f>
        <v/>
      </c>
      <c r="O30" s="964" t="s">
        <v>638</v>
      </c>
      <c r="P30" s="964" t="s">
        <v>629</v>
      </c>
      <c r="Q30" s="964" t="s">
        <v>638</v>
      </c>
      <c r="R30" s="964" t="s">
        <v>629</v>
      </c>
      <c r="S30" s="964"/>
      <c r="T30" s="971" t="s">
        <v>1974</v>
      </c>
      <c r="U30" s="852" t="s">
        <v>1974</v>
      </c>
      <c r="V30" s="852" t="s">
        <v>1974</v>
      </c>
      <c r="W30" s="852" t="s">
        <v>1974</v>
      </c>
      <c r="X30" s="849"/>
      <c r="Y30" s="1007"/>
      <c r="Z30" s="852"/>
      <c r="AA30" s="855" t="s">
        <v>1975</v>
      </c>
      <c r="AB30" s="855" t="s">
        <v>1975</v>
      </c>
      <c r="AC30" s="855" t="s">
        <v>1975</v>
      </c>
      <c r="AD30" s="852"/>
    </row>
    <row customHeight="1" ht="18">
      <c r="A31" s="851"/>
      <c r="B31" s="905">
        <v>14</v>
      </c>
      <c r="C31" s="849" t="s">
        <v>1976</v>
      </c>
      <c r="D31" s="974"/>
      <c r="E31" s="849"/>
      <c r="F31" s="849"/>
      <c r="G31" s="897"/>
      <c r="H31" s="965"/>
      <c r="I31" s="1012" t="str">
        <f>INDEX(TEMPLATE_NUMBER_POINT_FHD,B31,MATCH(TEMPLATE_SPHERE,TEMPLATE_SPHERE_LIST_FOR_NOTE,0))</f>
        <v>2.6.1</v>
      </c>
      <c r="J31" s="1012" t="str">
        <f>INDEX(TEMPLATE_DATA_POINT_FHD,B31,MATCH(TEMPLATE_SPHERE,TEMPLATE_SPHERE_LIST_FOR_NOTE,0))</f>
        <v>Расходы на оплату труда основного производственного персонала</v>
      </c>
      <c r="K31" s="1012">
        <f>INDEX(TEMPLATE_NOTE_POINT_FHD,B31,MATCH(TEMPLATE_SPHERE,TEMPLATE_SPHERE_LIST_FOR_NOTE,0))</f>
        <v>0</v>
      </c>
      <c r="L31" s="850" t="str">
        <f>IF(I31=0,"",I31)</f>
        <v>2.6.1</v>
      </c>
      <c r="M31" s="850" t="str">
        <f>IF(J31=0,"",J31)</f>
        <v>Расходы на оплату труда основного производственного персонала</v>
      </c>
      <c r="N31" s="850" t="str">
        <f>IF(K31=0,"",K31)</f>
        <v/>
      </c>
      <c r="O31" s="964" t="s">
        <v>1977</v>
      </c>
      <c r="P31" s="964" t="s">
        <v>632</v>
      </c>
      <c r="Q31" s="964" t="s">
        <v>1977</v>
      </c>
      <c r="R31" s="964" t="s">
        <v>632</v>
      </c>
      <c r="S31" s="964"/>
      <c r="T31" s="972" t="s">
        <v>1978</v>
      </c>
      <c r="U31" s="852" t="s">
        <v>1978</v>
      </c>
      <c r="V31" s="852" t="s">
        <v>1978</v>
      </c>
      <c r="W31" s="852" t="s">
        <v>1978</v>
      </c>
      <c r="X31" s="849"/>
      <c r="Y31" s="1007"/>
      <c r="Z31" s="852"/>
      <c r="AA31" s="855"/>
      <c r="AB31" s="855"/>
      <c r="AC31" s="855"/>
      <c r="AD31" s="852"/>
    </row>
    <row customHeight="1" ht="36">
      <c r="A32" s="851"/>
      <c r="B32" s="905">
        <v>15</v>
      </c>
      <c r="C32" s="849" t="s">
        <v>1979</v>
      </c>
      <c r="D32" s="974"/>
      <c r="E32" s="849"/>
      <c r="F32" s="849"/>
      <c r="G32" s="897"/>
      <c r="H32" s="965"/>
      <c r="I32" s="1012" t="str">
        <f>INDEX(TEMPLATE_NUMBER_POINT_FHD,B32,MATCH(TEMPLATE_SPHERE,TEMPLATE_SPHERE_LIST_FOR_NOTE,0))</f>
        <v>2.6.2</v>
      </c>
      <c r="J32" s="1012"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2">
        <f>INDEX(TEMPLATE_NOTE_POINT_FHD,B32,MATCH(TEMPLATE_SPHERE,TEMPLATE_SPHERE_LIST_FOR_NOTE,0))</f>
        <v>0</v>
      </c>
      <c r="L32" s="850" t="str">
        <f>IF(I32=0,"",I32)</f>
        <v>2.6.2</v>
      </c>
      <c r="M32" s="850" t="str">
        <f>IF(J32=0,"",J32)</f>
        <v>Страховые взносы на обязательное социальное страхование, выплачиваемые из фонда оплаты труда основного производственного персонала</v>
      </c>
      <c r="N32" s="850" t="str">
        <f>IF(K32=0,"",K32)</f>
        <v/>
      </c>
      <c r="O32" s="964" t="s">
        <v>1980</v>
      </c>
      <c r="P32" s="964" t="s">
        <v>634</v>
      </c>
      <c r="Q32" s="964" t="s">
        <v>1980</v>
      </c>
      <c r="R32" s="964" t="s">
        <v>634</v>
      </c>
      <c r="S32" s="964"/>
      <c r="T32" s="973" t="s">
        <v>1981</v>
      </c>
      <c r="U32" s="852" t="s">
        <v>1981</v>
      </c>
      <c r="V32" s="852" t="s">
        <v>1981</v>
      </c>
      <c r="W32" s="852" t="s">
        <v>1981</v>
      </c>
      <c r="X32" s="849"/>
      <c r="Y32" s="1007"/>
      <c r="Z32" s="852"/>
      <c r="AA32" s="855"/>
      <c r="AB32" s="855"/>
      <c r="AC32" s="855"/>
      <c r="AD32" s="852"/>
    </row>
    <row customHeight="1" ht="45">
      <c r="A33" s="851"/>
      <c r="B33" s="905">
        <v>16</v>
      </c>
      <c r="C33" s="849">
        <v>10</v>
      </c>
      <c r="D33" s="974"/>
      <c r="E33" s="849"/>
      <c r="F33" s="849"/>
      <c r="G33" s="897"/>
      <c r="H33" s="965"/>
      <c r="I33" s="1012" t="str">
        <f>INDEX(TEMPLATE_NUMBER_POINT_FHD,B33,MATCH(TEMPLATE_SPHERE,TEMPLATE_SPHERE_LIST_FOR_NOTE,0))</f>
        <v>2.7</v>
      </c>
      <c r="J33" s="1012"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2">
        <f>INDEX(TEMPLATE_NOTE_POINT_FHD,B33,MATCH(TEMPLATE_SPHERE,TEMPLATE_SPHERE_LIST_FOR_NOTE,0))</f>
        <v>0</v>
      </c>
      <c r="L33" s="850" t="str">
        <f>IF(I33=0,"",I33)</f>
        <v>2.7</v>
      </c>
      <c r="M33" s="850"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50" t="str">
        <f>IF(K33=0,"",K33)</f>
        <v/>
      </c>
      <c r="O33" s="964" t="s">
        <v>640</v>
      </c>
      <c r="P33" s="964" t="s">
        <v>636</v>
      </c>
      <c r="Q33" s="964" t="s">
        <v>640</v>
      </c>
      <c r="R33" s="964" t="s">
        <v>636</v>
      </c>
      <c r="S33" s="964"/>
      <c r="T33" s="972" t="s">
        <v>1982</v>
      </c>
      <c r="U33" s="852" t="s">
        <v>1982</v>
      </c>
      <c r="V33" s="852" t="s">
        <v>1982</v>
      </c>
      <c r="W33" s="852" t="s">
        <v>1983</v>
      </c>
      <c r="X33" s="849"/>
      <c r="Y33" s="1007"/>
      <c r="Z33" s="852"/>
      <c r="AA33" s="855" t="s">
        <v>1984</v>
      </c>
      <c r="AB33" s="855" t="s">
        <v>1984</v>
      </c>
      <c r="AC33" s="855" t="s">
        <v>1984</v>
      </c>
      <c r="AD33" s="852"/>
    </row>
    <row customHeight="1" ht="27">
      <c r="A34" s="851"/>
      <c r="B34" s="905">
        <v>17</v>
      </c>
      <c r="C34" s="849" t="s">
        <v>1985</v>
      </c>
      <c r="D34" s="974"/>
      <c r="E34" s="849"/>
      <c r="F34" s="849"/>
      <c r="G34" s="897"/>
      <c r="H34" s="965"/>
      <c r="I34" s="1012" t="str">
        <f>INDEX(TEMPLATE_NUMBER_POINT_FHD,B34,MATCH(TEMPLATE_SPHERE,TEMPLATE_SPHERE_LIST_FOR_NOTE,0))</f>
        <v>2.7.1</v>
      </c>
      <c r="J34" s="1012" t="str">
        <f>INDEX(TEMPLATE_DATA_POINT_FHD,B34,MATCH(TEMPLATE_SPHERE,TEMPLATE_SPHERE_LIST_FOR_NOTE,0))</f>
        <v>Расходы на оплату труда административно-управленческого персонала</v>
      </c>
      <c r="K34" s="1012">
        <f>INDEX(TEMPLATE_NOTE_POINT_FHD,B34,MATCH(TEMPLATE_SPHERE,TEMPLATE_SPHERE_LIST_FOR_NOTE,0))</f>
        <v>0</v>
      </c>
      <c r="L34" s="850" t="str">
        <f>IF(I34=0,"",I34)</f>
        <v>2.7.1</v>
      </c>
      <c r="M34" s="850" t="str">
        <f>IF(J34=0,"",J34)</f>
        <v>Расходы на оплату труда административно-управленческого персонала</v>
      </c>
      <c r="N34" s="850" t="str">
        <f>IF(K34=0,"",K34)</f>
        <v/>
      </c>
      <c r="O34" s="964" t="s">
        <v>1986</v>
      </c>
      <c r="P34" s="964" t="s">
        <v>1967</v>
      </c>
      <c r="Q34" s="964" t="s">
        <v>1986</v>
      </c>
      <c r="R34" s="964" t="s">
        <v>1967</v>
      </c>
      <c r="S34" s="964"/>
      <c r="T34" s="973" t="s">
        <v>1987</v>
      </c>
      <c r="U34" s="852" t="s">
        <v>1987</v>
      </c>
      <c r="V34" s="852" t="s">
        <v>1987</v>
      </c>
      <c r="W34" s="852" t="s">
        <v>1988</v>
      </c>
      <c r="X34" s="849"/>
      <c r="Y34" s="1007"/>
      <c r="Z34" s="852"/>
      <c r="AA34" s="855"/>
      <c r="AB34" s="852"/>
      <c r="AC34" s="852"/>
      <c r="AD34" s="852"/>
    </row>
    <row customHeight="1" ht="45">
      <c r="A35" s="851"/>
      <c r="B35" s="905">
        <v>18</v>
      </c>
      <c r="C35" s="849" t="s">
        <v>1989</v>
      </c>
      <c r="D35" s="974"/>
      <c r="E35" s="849"/>
      <c r="F35" s="849"/>
      <c r="G35" s="897"/>
      <c r="H35" s="965"/>
      <c r="I35" s="1012" t="str">
        <f>INDEX(TEMPLATE_NUMBER_POINT_FHD,B35,MATCH(TEMPLATE_SPHERE,TEMPLATE_SPHERE_LIST_FOR_NOTE,0))</f>
        <v>2.7.2</v>
      </c>
      <c r="J35" s="1012"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2">
        <f>INDEX(TEMPLATE_NOTE_POINT_FHD,B35,MATCH(TEMPLATE_SPHERE,TEMPLATE_SPHERE_LIST_FOR_NOTE,0))</f>
        <v>0</v>
      </c>
      <c r="L35" s="850" t="str">
        <f>IF(I35=0,"",I35)</f>
        <v>2.7.2</v>
      </c>
      <c r="M35" s="850"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50" t="str">
        <f>IF(K35=0,"",K35)</f>
        <v/>
      </c>
      <c r="O35" s="964" t="s">
        <v>1990</v>
      </c>
      <c r="P35" s="964" t="s">
        <v>1970</v>
      </c>
      <c r="Q35" s="964" t="s">
        <v>1990</v>
      </c>
      <c r="R35" s="964" t="s">
        <v>1970</v>
      </c>
      <c r="S35" s="964"/>
      <c r="T35" s="971" t="s">
        <v>1991</v>
      </c>
      <c r="U35" s="852" t="s">
        <v>1991</v>
      </c>
      <c r="V35" s="852" t="s">
        <v>1991</v>
      </c>
      <c r="W35" s="852" t="s">
        <v>1991</v>
      </c>
      <c r="X35" s="849"/>
      <c r="Y35" s="1007"/>
      <c r="Z35" s="852"/>
      <c r="AA35" s="855"/>
      <c r="AB35" s="852"/>
      <c r="AC35" s="852"/>
      <c r="AD35" s="852"/>
    </row>
    <row customHeight="1" ht="18">
      <c r="A36" s="851"/>
      <c r="B36" s="905">
        <v>19</v>
      </c>
      <c r="C36" s="849">
        <v>11</v>
      </c>
      <c r="D36" s="974"/>
      <c r="E36" s="849"/>
      <c r="F36" s="849"/>
      <c r="G36" s="897"/>
      <c r="H36" s="965"/>
      <c r="I36" s="1012" t="str">
        <f>INDEX(TEMPLATE_NUMBER_POINT_FHD,B36,MATCH(TEMPLATE_SPHERE,TEMPLATE_SPHERE_LIST_FOR_NOTE,0))</f>
        <v>2.8</v>
      </c>
      <c r="J36" s="1012" t="str">
        <f>INDEX(TEMPLATE_DATA_POINT_FHD,B36,MATCH(TEMPLATE_SPHERE,TEMPLATE_SPHERE_LIST_FOR_NOTE,0))</f>
        <v>Расходы на амортизацию основных средств и нематериальных активов</v>
      </c>
      <c r="K36" s="1012">
        <f>INDEX(TEMPLATE_NOTE_POINT_FHD,B36,MATCH(TEMPLATE_SPHERE,TEMPLATE_SPHERE_LIST_FOR_NOTE,0))</f>
        <v>0</v>
      </c>
      <c r="L36" s="850" t="str">
        <f>IF(I36=0,"",I36)</f>
        <v>2.8</v>
      </c>
      <c r="M36" s="850" t="str">
        <f>IF(J36=0,"",J36)</f>
        <v>Расходы на амортизацию основных средств и нематериальных активов</v>
      </c>
      <c r="N36" s="850" t="str">
        <f>IF(K36=0,"",K36)</f>
        <v/>
      </c>
      <c r="O36" s="964" t="s">
        <v>642</v>
      </c>
      <c r="P36" s="964" t="s">
        <v>638</v>
      </c>
      <c r="Q36" s="964" t="s">
        <v>642</v>
      </c>
      <c r="R36" s="964" t="s">
        <v>638</v>
      </c>
      <c r="S36" s="964"/>
      <c r="T36" s="971" t="s">
        <v>1992</v>
      </c>
      <c r="U36" s="852" t="s">
        <v>1992</v>
      </c>
      <c r="V36" s="852" t="s">
        <v>1992</v>
      </c>
      <c r="W36" s="852" t="s">
        <v>1992</v>
      </c>
      <c r="X36" s="849"/>
      <c r="Y36" s="1007"/>
      <c r="Z36" s="852"/>
      <c r="AA36" s="855"/>
      <c r="AB36" s="852"/>
      <c r="AC36" s="852"/>
      <c r="AD36" s="852"/>
    </row>
    <row customHeight="1" ht="18">
      <c r="A37" s="851"/>
      <c r="B37" s="905">
        <v>20</v>
      </c>
      <c r="C37" s="849" t="s">
        <v>1993</v>
      </c>
      <c r="D37" s="974"/>
      <c r="E37" s="849"/>
      <c r="F37" s="849"/>
      <c r="G37" s="897"/>
      <c r="H37" s="965"/>
      <c r="I37" s="1012" t="str">
        <f>INDEX(TEMPLATE_NUMBER_POINT_FHD,B37,MATCH(TEMPLATE_SPHERE,TEMPLATE_SPHERE_LIST_FOR_NOTE,0))</f>
        <v>2.8.1</v>
      </c>
      <c r="J37" s="1012" t="str">
        <f>INDEX(TEMPLATE_DATA_POINT_FHD,B37,MATCH(TEMPLATE_SPHERE,TEMPLATE_SPHERE_LIST_FOR_NOTE,0))</f>
        <v>Расходы на амортизацию основных средств</v>
      </c>
      <c r="K37" s="1012">
        <f>INDEX(TEMPLATE_NOTE_POINT_FHD,B37,MATCH(TEMPLATE_SPHERE,TEMPLATE_SPHERE_LIST_FOR_NOTE,0))</f>
        <v>0</v>
      </c>
      <c r="L37" s="850" t="str">
        <f>IF(I37=0,"",I37)</f>
        <v>2.8.1</v>
      </c>
      <c r="M37" s="850" t="str">
        <f>IF(J37=0,"",J37)</f>
        <v>Расходы на амортизацию основных средств</v>
      </c>
      <c r="N37" s="850" t="str">
        <f>IF(K37=0,"",K37)</f>
        <v/>
      </c>
      <c r="O37" s="964" t="s">
        <v>1994</v>
      </c>
      <c r="P37" s="964" t="s">
        <v>1977</v>
      </c>
      <c r="Q37" s="964" t="s">
        <v>1994</v>
      </c>
      <c r="R37" s="964" t="s">
        <v>1977</v>
      </c>
      <c r="S37" s="964"/>
      <c r="T37" s="971" t="s">
        <v>1995</v>
      </c>
      <c r="U37" s="852" t="s">
        <v>1995</v>
      </c>
      <c r="V37" s="852" t="s">
        <v>1995</v>
      </c>
      <c r="W37" s="852" t="s">
        <v>1995</v>
      </c>
      <c r="X37" s="849"/>
      <c r="Y37" s="1007"/>
      <c r="Z37" s="852"/>
      <c r="AA37" s="855"/>
      <c r="AB37" s="852"/>
      <c r="AC37" s="852"/>
      <c r="AD37" s="852"/>
    </row>
    <row customHeight="1" ht="18">
      <c r="A38" s="851"/>
      <c r="B38" s="905">
        <v>21</v>
      </c>
      <c r="C38" s="849" t="s">
        <v>1996</v>
      </c>
      <c r="D38" s="974"/>
      <c r="E38" s="849"/>
      <c r="F38" s="849"/>
      <c r="G38" s="897"/>
      <c r="H38" s="965"/>
      <c r="I38" s="1012" t="str">
        <f>INDEX(TEMPLATE_NUMBER_POINT_FHD,B38,MATCH(TEMPLATE_SPHERE,TEMPLATE_SPHERE_LIST_FOR_NOTE,0))</f>
        <v>2.8.2</v>
      </c>
      <c r="J38" s="1012" t="str">
        <f>INDEX(TEMPLATE_DATA_POINT_FHD,B38,MATCH(TEMPLATE_SPHERE,TEMPLATE_SPHERE_LIST_FOR_NOTE,0))</f>
        <v>Расходы на амортизацию нематериальных активов</v>
      </c>
      <c r="K38" s="1012">
        <f>INDEX(TEMPLATE_NOTE_POINT_FHD,B38,MATCH(TEMPLATE_SPHERE,TEMPLATE_SPHERE_LIST_FOR_NOTE,0))</f>
        <v>0</v>
      </c>
      <c r="L38" s="850" t="str">
        <f>IF(I38=0,"",I38)</f>
        <v>2.8.2</v>
      </c>
      <c r="M38" s="850" t="str">
        <f>IF(J38=0,"",J38)</f>
        <v>Расходы на амортизацию нематериальных активов</v>
      </c>
      <c r="N38" s="850" t="str">
        <f>IF(K38=0,"",K38)</f>
        <v/>
      </c>
      <c r="O38" s="964" t="s">
        <v>1997</v>
      </c>
      <c r="P38" s="964" t="s">
        <v>1980</v>
      </c>
      <c r="Q38" s="964" t="s">
        <v>1997</v>
      </c>
      <c r="R38" s="964" t="s">
        <v>1980</v>
      </c>
      <c r="S38" s="964"/>
      <c r="T38" s="971" t="s">
        <v>1998</v>
      </c>
      <c r="U38" s="852" t="s">
        <v>1998</v>
      </c>
      <c r="V38" s="852" t="s">
        <v>1998</v>
      </c>
      <c r="W38" s="852" t="s">
        <v>1998</v>
      </c>
      <c r="X38" s="849"/>
      <c r="Y38" s="1007"/>
      <c r="Z38" s="852"/>
      <c r="AA38" s="855"/>
      <c r="AB38" s="852"/>
      <c r="AC38" s="852"/>
      <c r="AD38" s="852"/>
    </row>
    <row customHeight="1" ht="36">
      <c r="A39" s="851"/>
      <c r="B39" s="905">
        <v>22</v>
      </c>
      <c r="C39" s="849">
        <v>12</v>
      </c>
      <c r="D39" s="974"/>
      <c r="E39" s="849"/>
      <c r="F39" s="849"/>
      <c r="G39" s="897"/>
      <c r="H39" s="965"/>
      <c r="I39" s="1012" t="str">
        <f>INDEX(TEMPLATE_NUMBER_POINT_FHD,B39,MATCH(TEMPLATE_SPHERE,TEMPLATE_SPHERE_LIST_FOR_NOTE,0))</f>
        <v>2.9</v>
      </c>
      <c r="J39" s="1012" t="str">
        <f>INDEX(TEMPLATE_DATA_POINT_FHD,B39,MATCH(TEMPLATE_SPHERE,TEMPLATE_SPHERE_LIST_FOR_NOTE,0))</f>
        <v>Расходы на аренду имущества, используемого для осуществления регулируемого вида деятельности</v>
      </c>
      <c r="K39" s="1012">
        <f>INDEX(TEMPLATE_NOTE_POINT_FHD,B39,MATCH(TEMPLATE_SPHERE,TEMPLATE_SPHERE_LIST_FOR_NOTE,0))</f>
        <v>0</v>
      </c>
      <c r="L39" s="850" t="str">
        <f>IF(I39=0,"",I39)</f>
        <v>2.9</v>
      </c>
      <c r="M39" s="850" t="str">
        <f>IF(J39=0,"",J39)</f>
        <v>Расходы на аренду имущества, используемого для осуществления регулируемого вида деятельности</v>
      </c>
      <c r="N39" s="850" t="str">
        <f>IF(K39=0,"",K39)</f>
        <v/>
      </c>
      <c r="O39" s="964" t="s">
        <v>646</v>
      </c>
      <c r="P39" s="964" t="s">
        <v>640</v>
      </c>
      <c r="Q39" s="964" t="s">
        <v>646</v>
      </c>
      <c r="R39" s="964" t="s">
        <v>640</v>
      </c>
      <c r="S39" s="964"/>
      <c r="T39" s="971" t="s">
        <v>1999</v>
      </c>
      <c r="U39" s="852" t="s">
        <v>2000</v>
      </c>
      <c r="V39" s="852" t="s">
        <v>2001</v>
      </c>
      <c r="W39" s="852" t="s">
        <v>2002</v>
      </c>
      <c r="X39" s="849"/>
      <c r="Y39" s="1007"/>
      <c r="Z39" s="852"/>
      <c r="AA39" s="855"/>
      <c r="AB39" s="852"/>
      <c r="AC39" s="852"/>
      <c r="AD39" s="852"/>
    </row>
    <row customHeight="1" ht="18">
      <c r="A40" s="851"/>
      <c r="B40" s="905">
        <v>23</v>
      </c>
      <c r="C40" s="849">
        <v>13</v>
      </c>
      <c r="D40" s="974"/>
      <c r="E40" s="849"/>
      <c r="F40" s="849"/>
      <c r="G40" s="849"/>
      <c r="H40" s="900"/>
      <c r="I40" s="1012" t="str">
        <f>INDEX(TEMPLATE_NUMBER_POINT_FHD,B40,MATCH(TEMPLATE_SPHERE,TEMPLATE_SPHERE_LIST_FOR_NOTE,0))</f>
        <v>2.10</v>
      </c>
      <c r="J40" s="1012" t="str">
        <f>INDEX(TEMPLATE_DATA_POINT_FHD,B40,MATCH(TEMPLATE_SPHERE,TEMPLATE_SPHERE_LIST_FOR_NOTE,0))</f>
        <v>Общепроизводственные расходы, в том числе:</v>
      </c>
      <c r="K40" s="1012" t="str">
        <f>INDEX(TEMPLATE_NOTE_POINT_FHD,B40,MATCH(TEMPLATE_SPHERE,TEMPLATE_SPHERE_LIST_FOR_NOTE,0))</f>
        <v>Указывается общая сумма общепроизводственных расходов.</v>
      </c>
      <c r="L40" s="850" t="str">
        <f>IF(I40=0,"",I40)</f>
        <v>2.10</v>
      </c>
      <c r="M40" s="850" t="str">
        <f>IF(J40=0,"",J40)</f>
        <v>Общепроизводственные расходы, в том числе:</v>
      </c>
      <c r="N40" s="850" t="str">
        <f>IF(K40=0,"",K40)</f>
        <v>Указывается общая сумма общепроизводственных расходов.</v>
      </c>
      <c r="O40" s="964" t="s">
        <v>2003</v>
      </c>
      <c r="P40" s="964" t="s">
        <v>642</v>
      </c>
      <c r="Q40" s="964" t="s">
        <v>2003</v>
      </c>
      <c r="R40" s="964" t="s">
        <v>642</v>
      </c>
      <c r="S40" s="964"/>
      <c r="T40" s="849" t="s">
        <v>2004</v>
      </c>
      <c r="U40" s="849" t="s">
        <v>2004</v>
      </c>
      <c r="V40" s="849" t="s">
        <v>2004</v>
      </c>
      <c r="W40" s="849" t="s">
        <v>2004</v>
      </c>
      <c r="X40" s="849"/>
      <c r="Y40" s="1007"/>
      <c r="Z40" s="852" t="s">
        <v>2005</v>
      </c>
      <c r="AA40" s="855" t="s">
        <v>2005</v>
      </c>
      <c r="AB40" s="855" t="s">
        <v>2005</v>
      </c>
      <c r="AC40" s="855" t="s">
        <v>2005</v>
      </c>
      <c r="AD40" s="852"/>
    </row>
    <row customHeight="1" ht="27">
      <c r="A41" s="851"/>
      <c r="B41" s="905">
        <v>24</v>
      </c>
      <c r="C41" s="849" t="s">
        <v>2006</v>
      </c>
      <c r="D41" s="974"/>
      <c r="E41" s="849"/>
      <c r="F41" s="849"/>
      <c r="G41" s="849"/>
      <c r="H41" s="897"/>
      <c r="I41" s="1012" t="str">
        <f>INDEX(TEMPLATE_NUMBER_POINT_FHD,B41,MATCH(TEMPLATE_SPHERE,TEMPLATE_SPHERE_LIST_FOR_NOTE,0))</f>
        <v>2.10.1</v>
      </c>
      <c r="J41" s="1012" t="str">
        <f>INDEX(TEMPLATE_DATA_POINT_FHD,B41,MATCH(TEMPLATE_SPHERE,TEMPLATE_SPHERE_LIST_FOR_NOTE,0))</f>
        <v>Расходы на текущий ремонт</v>
      </c>
      <c r="K41" s="1012" t="str">
        <f>INDEX(TEMPLATE_NOTE_POINT_FHD,B41,MATCH(TEMPLATE_SPHERE,TEMPLATE_SPHERE_LIST_FOR_NOTE,0))</f>
        <v>Указываются расходы на текущий ремонт, отнесенные к общепроизводственным расходам.</v>
      </c>
      <c r="L41" s="850" t="str">
        <f>IF(I41=0,"",I41)</f>
        <v>2.10.1</v>
      </c>
      <c r="M41" s="850" t="str">
        <f>IF(J41=0,"",J41)</f>
        <v>Расходы на текущий ремонт</v>
      </c>
      <c r="N41" s="850" t="str">
        <f>IF(K41=0,"",K41)</f>
        <v>Указываются расходы на текущий ремонт, отнесенные к общепроизводственным расходам.</v>
      </c>
      <c r="O41" s="964" t="s">
        <v>2007</v>
      </c>
      <c r="P41" s="964" t="s">
        <v>1994</v>
      </c>
      <c r="Q41" s="964" t="s">
        <v>2007</v>
      </c>
      <c r="R41" s="964" t="s">
        <v>1994</v>
      </c>
      <c r="S41" s="964"/>
      <c r="T41" s="849" t="s">
        <v>2008</v>
      </c>
      <c r="U41" s="849" t="s">
        <v>2008</v>
      </c>
      <c r="V41" s="849" t="s">
        <v>2008</v>
      </c>
      <c r="W41" s="849" t="s">
        <v>2008</v>
      </c>
      <c r="X41" s="849"/>
      <c r="Y41" s="1007"/>
      <c r="Z41" s="852" t="s">
        <v>2009</v>
      </c>
      <c r="AA41" s="852" t="s">
        <v>2009</v>
      </c>
      <c r="AB41" s="852" t="s">
        <v>2009</v>
      </c>
      <c r="AC41" s="852" t="s">
        <v>2009</v>
      </c>
      <c r="AD41" s="852"/>
    </row>
    <row customHeight="1" ht="27">
      <c r="A42" s="851"/>
      <c r="B42" s="905">
        <v>25</v>
      </c>
      <c r="C42" s="849" t="s">
        <v>2010</v>
      </c>
      <c r="D42" s="974"/>
      <c r="E42" s="849"/>
      <c r="F42" s="849"/>
      <c r="G42" s="849"/>
      <c r="H42" s="897"/>
      <c r="I42" s="1012" t="str">
        <f>INDEX(TEMPLATE_NUMBER_POINT_FHD,B42,MATCH(TEMPLATE_SPHERE,TEMPLATE_SPHERE_LIST_FOR_NOTE,0))</f>
        <v>2.10.2</v>
      </c>
      <c r="J42" s="1012" t="str">
        <f>INDEX(TEMPLATE_DATA_POINT_FHD,B42,MATCH(TEMPLATE_SPHERE,TEMPLATE_SPHERE_LIST_FOR_NOTE,0))</f>
        <v>Расходы на капитальный ремонт</v>
      </c>
      <c r="K42" s="1012" t="str">
        <f>INDEX(TEMPLATE_NOTE_POINT_FHD,B42,MATCH(TEMPLATE_SPHERE,TEMPLATE_SPHERE_LIST_FOR_NOTE,0))</f>
        <v>Указываются расходы на капитальный ремонт, отнесенные к общепроизводственным расходам.</v>
      </c>
      <c r="L42" s="850" t="str">
        <f>IF(I42=0,"",I42)</f>
        <v>2.10.2</v>
      </c>
      <c r="M42" s="850" t="str">
        <f>IF(J42=0,"",J42)</f>
        <v>Расходы на капитальный ремонт</v>
      </c>
      <c r="N42" s="850" t="str">
        <f>IF(K42=0,"",K42)</f>
        <v>Указываются расходы на капитальный ремонт, отнесенные к общепроизводственным расходам.</v>
      </c>
      <c r="O42" s="964" t="s">
        <v>2011</v>
      </c>
      <c r="P42" s="964" t="s">
        <v>1997</v>
      </c>
      <c r="Q42" s="964" t="s">
        <v>2011</v>
      </c>
      <c r="R42" s="964" t="s">
        <v>1997</v>
      </c>
      <c r="S42" s="964"/>
      <c r="T42" s="849" t="s">
        <v>2012</v>
      </c>
      <c r="U42" s="849" t="s">
        <v>2012</v>
      </c>
      <c r="V42" s="849" t="s">
        <v>2012</v>
      </c>
      <c r="W42" s="849" t="s">
        <v>2012</v>
      </c>
      <c r="X42" s="849"/>
      <c r="Y42" s="1007"/>
      <c r="Z42" s="852" t="s">
        <v>2013</v>
      </c>
      <c r="AA42" s="852" t="s">
        <v>2013</v>
      </c>
      <c r="AB42" s="852" t="s">
        <v>2013</v>
      </c>
      <c r="AC42" s="852" t="s">
        <v>2013</v>
      </c>
      <c r="AD42" s="852"/>
    </row>
    <row customHeight="1" ht="18">
      <c r="A43" s="851"/>
      <c r="B43" s="905">
        <v>26</v>
      </c>
      <c r="C43" s="849">
        <v>14</v>
      </c>
      <c r="D43" s="974"/>
      <c r="E43" s="849"/>
      <c r="F43" s="849"/>
      <c r="G43" s="849"/>
      <c r="H43" s="897"/>
      <c r="I43" s="1012" t="str">
        <f>INDEX(TEMPLATE_NUMBER_POINT_FHD,B43,MATCH(TEMPLATE_SPHERE,TEMPLATE_SPHERE_LIST_FOR_NOTE,0))</f>
        <v>2.11</v>
      </c>
      <c r="J43" s="1012" t="str">
        <f>INDEX(TEMPLATE_DATA_POINT_FHD,B43,MATCH(TEMPLATE_SPHERE,TEMPLATE_SPHERE_LIST_FOR_NOTE,0))</f>
        <v>Общехозяйственные расходы, в том числе:</v>
      </c>
      <c r="K43" s="1012" t="str">
        <f>INDEX(TEMPLATE_NOTE_POINT_FHD,B43,MATCH(TEMPLATE_SPHERE,TEMPLATE_SPHERE_LIST_FOR_NOTE,0))</f>
        <v>Указывается общая сумма общехозяйственных расходов.</v>
      </c>
      <c r="L43" s="850" t="str">
        <f>IF(I43=0,"",I43)</f>
        <v>2.11</v>
      </c>
      <c r="M43" s="850" t="str">
        <f>IF(J43=0,"",J43)</f>
        <v>Общехозяйственные расходы, в том числе:</v>
      </c>
      <c r="N43" s="850" t="str">
        <f>IF(K43=0,"",K43)</f>
        <v>Указывается общая сумма общехозяйственных расходов.</v>
      </c>
      <c r="O43" s="964" t="s">
        <v>2014</v>
      </c>
      <c r="P43" s="964" t="s">
        <v>646</v>
      </c>
      <c r="Q43" s="964" t="s">
        <v>2014</v>
      </c>
      <c r="R43" s="964" t="s">
        <v>646</v>
      </c>
      <c r="S43" s="964"/>
      <c r="T43" s="849" t="s">
        <v>2015</v>
      </c>
      <c r="U43" s="849" t="s">
        <v>2015</v>
      </c>
      <c r="V43" s="849" t="s">
        <v>2015</v>
      </c>
      <c r="W43" s="849" t="s">
        <v>2015</v>
      </c>
      <c r="X43" s="849"/>
      <c r="Y43" s="1007"/>
      <c r="Z43" s="852" t="s">
        <v>2016</v>
      </c>
      <c r="AA43" s="852" t="s">
        <v>2016</v>
      </c>
      <c r="AB43" s="852" t="s">
        <v>2016</v>
      </c>
      <c r="AC43" s="852" t="s">
        <v>2016</v>
      </c>
      <c r="AD43" s="852"/>
    </row>
    <row customHeight="1" ht="27">
      <c r="A44" s="851"/>
      <c r="B44" s="905">
        <v>27</v>
      </c>
      <c r="C44" s="849" t="s">
        <v>2017</v>
      </c>
      <c r="D44" s="974"/>
      <c r="E44" s="849"/>
      <c r="F44" s="849"/>
      <c r="G44" s="849"/>
      <c r="H44" s="897"/>
      <c r="I44" s="1012" t="str">
        <f>INDEX(TEMPLATE_NUMBER_POINT_FHD,B44,MATCH(TEMPLATE_SPHERE,TEMPLATE_SPHERE_LIST_FOR_NOTE,0))</f>
        <v>2.11.1</v>
      </c>
      <c r="J44" s="1012" t="str">
        <f>INDEX(TEMPLATE_DATA_POINT_FHD,B44,MATCH(TEMPLATE_SPHERE,TEMPLATE_SPHERE_LIST_FOR_NOTE,0))</f>
        <v>Расходы на текущий ремонт</v>
      </c>
      <c r="K44" s="1012" t="str">
        <f>INDEX(TEMPLATE_NOTE_POINT_FHD,B44,MATCH(TEMPLATE_SPHERE,TEMPLATE_SPHERE_LIST_FOR_NOTE,0))</f>
        <v>Указываются расходы на текущий ремонт, отнесенные к общехозяйственным расходам.</v>
      </c>
      <c r="L44" s="850" t="str">
        <f>IF(I44=0,"",I44)</f>
        <v>2.11.1</v>
      </c>
      <c r="M44" s="850" t="str">
        <f>IF(J44=0,"",J44)</f>
        <v>Расходы на текущий ремонт</v>
      </c>
      <c r="N44" s="850" t="str">
        <f>IF(K44=0,"",K44)</f>
        <v>Указываются расходы на текущий ремонт, отнесенные к общехозяйственным расходам.</v>
      </c>
      <c r="O44" s="964" t="s">
        <v>2018</v>
      </c>
      <c r="P44" s="964" t="s">
        <v>2019</v>
      </c>
      <c r="Q44" s="964" t="s">
        <v>2018</v>
      </c>
      <c r="R44" s="964" t="s">
        <v>2019</v>
      </c>
      <c r="S44" s="964"/>
      <c r="T44" s="849" t="s">
        <v>2008</v>
      </c>
      <c r="U44" s="849" t="s">
        <v>2008</v>
      </c>
      <c r="V44" s="849" t="s">
        <v>2008</v>
      </c>
      <c r="W44" s="849" t="s">
        <v>2008</v>
      </c>
      <c r="X44" s="849"/>
      <c r="Y44" s="1007"/>
      <c r="Z44" s="852" t="s">
        <v>2020</v>
      </c>
      <c r="AA44" s="852" t="s">
        <v>2020</v>
      </c>
      <c r="AB44" s="852" t="s">
        <v>2020</v>
      </c>
      <c r="AC44" s="852" t="s">
        <v>2020</v>
      </c>
      <c r="AD44" s="852"/>
    </row>
    <row customHeight="1" ht="27">
      <c r="A45" s="851"/>
      <c r="B45" s="905">
        <v>28</v>
      </c>
      <c r="C45" s="849" t="s">
        <v>2021</v>
      </c>
      <c r="D45" s="974"/>
      <c r="E45" s="849"/>
      <c r="F45" s="849"/>
      <c r="G45" s="849"/>
      <c r="H45" s="897"/>
      <c r="I45" s="1012" t="str">
        <f>INDEX(TEMPLATE_NUMBER_POINT_FHD,B45,MATCH(TEMPLATE_SPHERE,TEMPLATE_SPHERE_LIST_FOR_NOTE,0))</f>
        <v>2.11.2</v>
      </c>
      <c r="J45" s="1012" t="str">
        <f>INDEX(TEMPLATE_DATA_POINT_FHD,B45,MATCH(TEMPLATE_SPHERE,TEMPLATE_SPHERE_LIST_FOR_NOTE,0))</f>
        <v>Расходы на капитальный ремонт</v>
      </c>
      <c r="K45" s="1012" t="str">
        <f>INDEX(TEMPLATE_NOTE_POINT_FHD,B45,MATCH(TEMPLATE_SPHERE,TEMPLATE_SPHERE_LIST_FOR_NOTE,0))</f>
        <v>Указываются расходы на капитальный ремонт, отнесенные к общехозяйственным расходам.</v>
      </c>
      <c r="L45" s="850" t="str">
        <f>IF(I45=0,"",I45)</f>
        <v>2.11.2</v>
      </c>
      <c r="M45" s="850" t="str">
        <f>IF(J45=0,"",J45)</f>
        <v>Расходы на капитальный ремонт</v>
      </c>
      <c r="N45" s="850" t="str">
        <f>IF(K45=0,"",K45)</f>
        <v>Указываются расходы на капитальный ремонт, отнесенные к общехозяйственным расходам.</v>
      </c>
      <c r="O45" s="964" t="s">
        <v>2022</v>
      </c>
      <c r="P45" s="964" t="s">
        <v>2023</v>
      </c>
      <c r="Q45" s="964" t="s">
        <v>2022</v>
      </c>
      <c r="R45" s="964" t="s">
        <v>2023</v>
      </c>
      <c r="S45" s="964"/>
      <c r="T45" s="849" t="s">
        <v>2012</v>
      </c>
      <c r="U45" s="849" t="s">
        <v>2012</v>
      </c>
      <c r="V45" s="849" t="s">
        <v>2012</v>
      </c>
      <c r="W45" s="849" t="s">
        <v>2012</v>
      </c>
      <c r="X45" s="849"/>
      <c r="Y45" s="1007"/>
      <c r="Z45" s="852" t="s">
        <v>2024</v>
      </c>
      <c r="AA45" s="852" t="s">
        <v>2024</v>
      </c>
      <c r="AB45" s="852" t="s">
        <v>2024</v>
      </c>
      <c r="AC45" s="852" t="s">
        <v>2024</v>
      </c>
      <c r="AD45" s="852"/>
    </row>
    <row customHeight="1" ht="54">
      <c r="A46" s="851"/>
      <c r="B46" s="905">
        <v>29</v>
      </c>
      <c r="C46" s="849">
        <v>15</v>
      </c>
      <c r="D46" s="974"/>
      <c r="E46" s="849"/>
      <c r="F46" s="849"/>
      <c r="G46" s="849"/>
      <c r="H46" s="897"/>
      <c r="I46" s="1012" t="str">
        <f>INDEX(TEMPLATE_NUMBER_POINT_FHD,B46,MATCH(TEMPLATE_SPHERE,TEMPLATE_SPHERE_LIST_FOR_NOTE,0))</f>
        <v>2.12</v>
      </c>
      <c r="J46" s="1012" t="str">
        <f>INDEX(TEMPLATE_DATA_POINT_FHD,B46,MATCH(TEMPLATE_SPHERE,TEMPLATE_SPHERE_LIST_FOR_NOTE,0))</f>
        <v>Расходы на капитальный и текущий ремонт основных средств</v>
      </c>
      <c r="K46" s="1012"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0" t="str">
        <f>IF(I46=0,"",I46)</f>
        <v>2.12</v>
      </c>
      <c r="M46" s="850" t="str">
        <f>IF(J46=0,"",J46)</f>
        <v>Расходы на капитальный и текущий ремонт основных средств</v>
      </c>
      <c r="N46" s="850"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4" t="s">
        <v>2025</v>
      </c>
      <c r="P46" s="964" t="s">
        <v>2003</v>
      </c>
      <c r="Q46" s="964" t="s">
        <v>2025</v>
      </c>
      <c r="R46" s="964" t="s">
        <v>2003</v>
      </c>
      <c r="S46" s="964"/>
      <c r="T46" s="849" t="s">
        <v>2026</v>
      </c>
      <c r="U46" s="849" t="s">
        <v>2026</v>
      </c>
      <c r="V46" s="849" t="s">
        <v>2026</v>
      </c>
      <c r="W46" s="849" t="s">
        <v>2026</v>
      </c>
      <c r="X46" s="849"/>
      <c r="Y46" s="1007"/>
      <c r="Z46" s="852" t="s">
        <v>2027</v>
      </c>
      <c r="AA46" s="852" t="s">
        <v>2028</v>
      </c>
      <c r="AB46" s="852" t="s">
        <v>2028</v>
      </c>
      <c r="AC46" s="852" t="s">
        <v>2028</v>
      </c>
      <c r="AD46" s="852"/>
    </row>
    <row customHeight="1" ht="54">
      <c r="A47" s="851"/>
      <c r="B47" s="905">
        <v>30</v>
      </c>
      <c r="C47" s="849" t="s">
        <v>2029</v>
      </c>
      <c r="D47" s="974"/>
      <c r="E47" s="849"/>
      <c r="F47" s="849"/>
      <c r="G47" s="849"/>
      <c r="H47" s="897"/>
      <c r="I47" s="1012" t="str">
        <f>INDEX(TEMPLATE_NUMBER_POINT_FHD,B47,MATCH(TEMPLATE_SPHERE,TEMPLATE_SPHERE_LIST_FOR_NOTE,0))</f>
        <v>2.12.1</v>
      </c>
      <c r="J47" s="1012"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2">
        <f>INDEX(TEMPLATE_NOTE_POINT_FHD,B47,MATCH(TEMPLATE_SPHERE,TEMPLATE_SPHERE_LIST_FOR_NOTE,0))</f>
        <v>0</v>
      </c>
      <c r="L47" s="850" t="str">
        <f>IF(I47=0,"",I47)</f>
        <v>2.12.1</v>
      </c>
      <c r="M47" s="850"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0" t="str">
        <f>IF(K47=0,"",K47)</f>
        <v/>
      </c>
      <c r="O47" s="964" t="s">
        <v>2030</v>
      </c>
      <c r="P47" s="964" t="s">
        <v>2007</v>
      </c>
      <c r="Q47" s="964" t="s">
        <v>2030</v>
      </c>
      <c r="R47" s="964" t="s">
        <v>2007</v>
      </c>
      <c r="S47" s="964"/>
      <c r="T47" s="849" t="s">
        <v>2031</v>
      </c>
      <c r="U47" s="849" t="s">
        <v>2031</v>
      </c>
      <c r="V47" s="849" t="s">
        <v>2031</v>
      </c>
      <c r="W47" s="849" t="s">
        <v>2031</v>
      </c>
      <c r="X47" s="849"/>
      <c r="Y47" s="1007"/>
      <c r="Z47" s="852"/>
      <c r="AA47" s="855"/>
      <c r="AB47" s="855"/>
      <c r="AC47" s="855"/>
      <c r="AD47" s="852"/>
    </row>
    <row customHeight="1" ht="54">
      <c r="A48" s="851"/>
      <c r="B48" s="905">
        <v>31</v>
      </c>
      <c r="C48" s="849">
        <v>16</v>
      </c>
      <c r="D48" s="974"/>
      <c r="E48" s="849"/>
      <c r="F48" s="849"/>
      <c r="G48" s="849"/>
      <c r="H48" s="897"/>
      <c r="I48" s="1012">
        <f>INDEX(TEMPLATE_NUMBER_POINT_FHD,B48,MATCH(TEMPLATE_SPHERE,TEMPLATE_SPHERE_LIST_FOR_NOTE,0))</f>
        <v>0</v>
      </c>
      <c r="J48" s="1012">
        <f>INDEX(TEMPLATE_DATA_POINT_FHD,B48,MATCH(TEMPLATE_SPHERE,TEMPLATE_SPHERE_LIST_FOR_NOTE,0))</f>
        <v>0</v>
      </c>
      <c r="K48" s="1012">
        <f>INDEX(TEMPLATE_NOTE_POINT_FHD,B48,MATCH(TEMPLATE_SPHERE,TEMPLATE_SPHERE_LIST_FOR_NOTE,0))</f>
        <v>0</v>
      </c>
      <c r="L48" s="850" t="str">
        <f>IF(I48=0,"",I48)</f>
        <v/>
      </c>
      <c r="M48" s="850" t="str">
        <f>IF(J48=0,"",J48)</f>
        <v/>
      </c>
      <c r="N48" s="850" t="str">
        <f>IF(K48=0,"",K48)</f>
        <v/>
      </c>
      <c r="O48" s="964"/>
      <c r="P48" s="964" t="s">
        <v>2014</v>
      </c>
      <c r="Q48" s="964" t="s">
        <v>2032</v>
      </c>
      <c r="R48" s="964" t="s">
        <v>2014</v>
      </c>
      <c r="S48" s="964"/>
      <c r="T48" s="849"/>
      <c r="U48" s="849" t="s">
        <v>2033</v>
      </c>
      <c r="V48" s="849" t="s">
        <v>2034</v>
      </c>
      <c r="W48" s="849" t="s">
        <v>2034</v>
      </c>
      <c r="X48" s="849"/>
      <c r="Y48" s="1007"/>
      <c r="Z48" s="852"/>
      <c r="AA48" s="855" t="s">
        <v>2028</v>
      </c>
      <c r="AB48" s="855" t="s">
        <v>2028</v>
      </c>
      <c r="AC48" s="855" t="s">
        <v>2028</v>
      </c>
      <c r="AD48" s="852"/>
    </row>
    <row customHeight="1" ht="54">
      <c r="A49" s="851"/>
      <c r="B49" s="905">
        <v>32</v>
      </c>
      <c r="C49" s="849" t="s">
        <v>2035</v>
      </c>
      <c r="D49" s="974"/>
      <c r="E49" s="849"/>
      <c r="F49" s="849"/>
      <c r="G49" s="849"/>
      <c r="H49" s="897"/>
      <c r="I49" s="1012">
        <f>INDEX(TEMPLATE_NUMBER_POINT_FHD,B49,MATCH(TEMPLATE_SPHERE,TEMPLATE_SPHERE_LIST_FOR_NOTE,0))</f>
        <v>0</v>
      </c>
      <c r="J49" s="1012">
        <f>INDEX(TEMPLATE_DATA_POINT_FHD,B49,MATCH(TEMPLATE_SPHERE,TEMPLATE_SPHERE_LIST_FOR_NOTE,0))</f>
        <v>0</v>
      </c>
      <c r="K49" s="1012">
        <f>INDEX(TEMPLATE_NOTE_POINT_FHD,B49,MATCH(TEMPLATE_SPHERE,TEMPLATE_SPHERE_LIST_FOR_NOTE,0))</f>
        <v>0</v>
      </c>
      <c r="L49" s="850" t="str">
        <f>IF(I49=0,"",I49)</f>
        <v/>
      </c>
      <c r="M49" s="850" t="str">
        <f>IF(J49=0,"",J49)</f>
        <v/>
      </c>
      <c r="N49" s="850" t="str">
        <f>IF(K49=0,"",K49)</f>
        <v/>
      </c>
      <c r="O49" s="964"/>
      <c r="P49" s="964" t="s">
        <v>2018</v>
      </c>
      <c r="Q49" s="964" t="s">
        <v>2036</v>
      </c>
      <c r="R49" s="964" t="s">
        <v>2018</v>
      </c>
      <c r="S49" s="964"/>
      <c r="T49" s="849"/>
      <c r="U49" s="849" t="s">
        <v>2031</v>
      </c>
      <c r="V49" s="849" t="s">
        <v>2031</v>
      </c>
      <c r="W49" s="849" t="s">
        <v>2031</v>
      </c>
      <c r="X49" s="849"/>
      <c r="Y49" s="1007"/>
      <c r="Z49" s="852"/>
      <c r="AA49" s="855"/>
      <c r="AB49" s="855"/>
      <c r="AC49" s="855"/>
      <c r="AD49" s="852"/>
    </row>
    <row customHeight="1" ht="126">
      <c r="A50" s="851"/>
      <c r="B50" s="905">
        <v>33</v>
      </c>
      <c r="C50" s="849">
        <v>17</v>
      </c>
      <c r="D50" s="974"/>
      <c r="E50" s="849"/>
      <c r="F50" s="849"/>
      <c r="G50" s="849"/>
      <c r="H50" s="897"/>
      <c r="I50" s="1012" t="str">
        <f>INDEX(TEMPLATE_NUMBER_POINT_FHD,B50,MATCH(TEMPLATE_SPHERE,TEMPLATE_SPHERE_LIST_FOR_NOTE,0))</f>
        <v>2.13</v>
      </c>
      <c r="J50" s="1012"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12"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50" t="str">
        <f>IF(I50=0,"",I50)</f>
        <v>2.13</v>
      </c>
      <c r="M50" s="850"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50"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4" t="s">
        <v>2032</v>
      </c>
      <c r="P50" s="964" t="s">
        <v>2025</v>
      </c>
      <c r="Q50" s="964" t="s">
        <v>2037</v>
      </c>
      <c r="R50" s="964" t="s">
        <v>2025</v>
      </c>
      <c r="S50" s="964"/>
      <c r="T50" s="849" t="s">
        <v>2038</v>
      </c>
      <c r="U50" s="849" t="s">
        <v>2039</v>
      </c>
      <c r="V50" s="849" t="s">
        <v>2040</v>
      </c>
      <c r="W50" s="849" t="s">
        <v>2041</v>
      </c>
      <c r="X50" s="849"/>
      <c r="Y50" s="1007"/>
      <c r="Z50" s="852" t="s">
        <v>2042</v>
      </c>
      <c r="AA50" s="855" t="s">
        <v>2043</v>
      </c>
      <c r="AB50" s="855" t="s">
        <v>2043</v>
      </c>
      <c r="AC50" s="855" t="s">
        <v>2043</v>
      </c>
      <c r="AD50" s="852"/>
    </row>
    <row customHeight="1" ht="27">
      <c r="A51" s="851"/>
      <c r="B51" s="905">
        <v>34</v>
      </c>
      <c r="C51" s="849" t="s">
        <v>2044</v>
      </c>
      <c r="D51" s="974"/>
      <c r="E51" s="849"/>
      <c r="F51" s="849"/>
      <c r="G51" s="849"/>
      <c r="H51" s="897"/>
      <c r="I51" s="1012" t="str">
        <f>INDEX(TEMPLATE_NUMBER_POINT_FHD,B51,MATCH(TEMPLATE_SPHERE,TEMPLATE_SPHERE_LIST_FOR_NOTE,0))</f>
        <v>3</v>
      </c>
      <c r="J51" s="1012"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12">
        <f>INDEX(TEMPLATE_NOTE_POINT_FHD,B51,MATCH(TEMPLATE_SPHERE,TEMPLATE_SPHERE_LIST_FOR_NOTE,0))</f>
        <v>0</v>
      </c>
      <c r="L51" s="850" t="str">
        <f>IF(I51=0,"",I51)</f>
        <v>3</v>
      </c>
      <c r="M51" s="850" t="str">
        <f>IF(J51=0,"",J51)</f>
        <v>Валовая прибыль (убытки) от реализации товаров и оказания услуг по регулируемому виду деятельности</v>
      </c>
      <c r="N51" s="850" t="str">
        <f>IF(K51=0,"",K51)</f>
        <v/>
      </c>
      <c r="O51" s="964" t="s">
        <v>89</v>
      </c>
      <c r="P51" s="964"/>
      <c r="Q51" s="964"/>
      <c r="R51" s="964"/>
      <c r="S51" s="964"/>
      <c r="T51" s="849" t="s">
        <v>2045</v>
      </c>
      <c r="U51" s="849"/>
      <c r="V51" s="849"/>
      <c r="W51" s="849"/>
      <c r="X51" s="849"/>
      <c r="Y51" s="1007"/>
      <c r="Z51" s="852"/>
      <c r="AA51" s="855"/>
      <c r="AB51" s="855"/>
      <c r="AC51" s="855"/>
      <c r="AD51" s="852"/>
    </row>
    <row customHeight="1" ht="36">
      <c r="A52" s="851"/>
      <c r="B52" s="905">
        <v>35</v>
      </c>
      <c r="C52" s="849" t="s">
        <v>1937</v>
      </c>
      <c r="D52" s="974" t="s">
        <v>1937</v>
      </c>
      <c r="E52" s="849" t="s">
        <v>1937</v>
      </c>
      <c r="F52" s="849" t="s">
        <v>1937</v>
      </c>
      <c r="G52" s="849"/>
      <c r="H52" s="897"/>
      <c r="I52" s="1012" t="str">
        <f>INDEX(TEMPLATE_NUMBER_POINT_FHD,B52,MATCH(TEMPLATE_SPHERE,TEMPLATE_SPHERE_LIST_FOR_NOTE,0))</f>
        <v>4</v>
      </c>
      <c r="J52" s="1012" t="str">
        <f>INDEX(TEMPLATE_DATA_POINT_FHD,B52,MATCH(TEMPLATE_SPHERE,TEMPLATE_SPHERE_LIST_FOR_NOTE,0))</f>
        <v>Чистая прибыль, полученная от регулируемого вида деятельности, в том числе:</v>
      </c>
      <c r="K52" s="1012" t="str">
        <f>INDEX(TEMPLATE_NOTE_POINT_FHD,B52,MATCH(TEMPLATE_SPHERE,TEMPLATE_SPHERE_LIST_FOR_NOTE,0))</f>
        <v>Указывается общая сумма чистой прибыли, полученной от регулируемого вида деятельности.</v>
      </c>
      <c r="L52" s="850" t="str">
        <f>IF(I52=0,"",I52)</f>
        <v>4</v>
      </c>
      <c r="M52" s="850" t="str">
        <f>IF(J52=0,"",J52)</f>
        <v>Чистая прибыль, полученная от регулируемого вида деятельности, в том числе:</v>
      </c>
      <c r="N52" s="850" t="str">
        <f>IF(K52=0,"",K52)</f>
        <v>Указывается общая сумма чистой прибыли, полученной от регулируемого вида деятельности.</v>
      </c>
      <c r="O52" s="964" t="s">
        <v>90</v>
      </c>
      <c r="P52" s="964" t="s">
        <v>89</v>
      </c>
      <c r="Q52" s="964" t="s">
        <v>89</v>
      </c>
      <c r="R52" s="964" t="s">
        <v>89</v>
      </c>
      <c r="S52" s="964"/>
      <c r="T52" s="849" t="s">
        <v>2046</v>
      </c>
      <c r="U52" s="849" t="s">
        <v>2047</v>
      </c>
      <c r="V52" s="849" t="s">
        <v>2048</v>
      </c>
      <c r="W52" s="849" t="s">
        <v>2049</v>
      </c>
      <c r="X52" s="849"/>
      <c r="Y52" s="1007"/>
      <c r="Z52" s="852" t="s">
        <v>650</v>
      </c>
      <c r="AA52" s="855" t="s">
        <v>650</v>
      </c>
      <c r="AB52" s="855" t="s">
        <v>650</v>
      </c>
      <c r="AC52" s="855" t="s">
        <v>650</v>
      </c>
      <c r="AD52" s="852"/>
    </row>
    <row customHeight="1" ht="36">
      <c r="A53" s="851"/>
      <c r="B53" s="905">
        <v>36</v>
      </c>
      <c r="C53" s="849">
        <v>1</v>
      </c>
      <c r="D53" s="974"/>
      <c r="E53" s="849"/>
      <c r="F53" s="849"/>
      <c r="G53" s="849"/>
      <c r="H53" s="897"/>
      <c r="I53" s="1012" t="str">
        <f>INDEX(TEMPLATE_NUMBER_POINT_FHD,B53,MATCH(TEMPLATE_SPHERE,TEMPLATE_SPHERE_LIST_FOR_NOTE,0))</f>
        <v>4.1</v>
      </c>
      <c r="J53" s="1012"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2">
        <f>INDEX(TEMPLATE_NOTE_POINT_FHD,B53,MATCH(TEMPLATE_SPHERE,TEMPLATE_SPHERE_LIST_FOR_NOTE,0))</f>
        <v>0</v>
      </c>
      <c r="L53" s="850" t="str">
        <f>IF(I53=0,"",I53)</f>
        <v>4.1</v>
      </c>
      <c r="M53" s="850"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0" t="str">
        <f>IF(K53=0,"",K53)</f>
        <v/>
      </c>
      <c r="O53" s="964" t="s">
        <v>654</v>
      </c>
      <c r="P53" s="964" t="s">
        <v>317</v>
      </c>
      <c r="Q53" s="964" t="s">
        <v>317</v>
      </c>
      <c r="R53" s="964" t="s">
        <v>317</v>
      </c>
      <c r="S53" s="964"/>
      <c r="T53" s="849" t="s">
        <v>2050</v>
      </c>
      <c r="U53" s="849" t="s">
        <v>2050</v>
      </c>
      <c r="V53" s="849" t="s">
        <v>2050</v>
      </c>
      <c r="W53" s="849" t="s">
        <v>2050</v>
      </c>
      <c r="X53" s="849"/>
      <c r="Y53" s="1007"/>
      <c r="Z53" s="852"/>
      <c r="AA53" s="855"/>
      <c r="AB53" s="852"/>
      <c r="AC53" s="852"/>
      <c r="AD53" s="852"/>
    </row>
    <row customHeight="1" ht="18">
      <c r="A54" s="851"/>
      <c r="B54" s="905">
        <v>37</v>
      </c>
      <c r="C54" s="849" t="s">
        <v>1943</v>
      </c>
      <c r="D54" s="974" t="s">
        <v>1943</v>
      </c>
      <c r="E54" s="849" t="s">
        <v>1943</v>
      </c>
      <c r="F54" s="849" t="s">
        <v>1943</v>
      </c>
      <c r="G54" s="849"/>
      <c r="H54" s="897"/>
      <c r="I54" s="1012" t="str">
        <f>INDEX(TEMPLATE_NUMBER_POINT_FHD,B54,MATCH(TEMPLATE_SPHERE,TEMPLATE_SPHERE_LIST_FOR_NOTE,0))</f>
        <v>5</v>
      </c>
      <c r="J54" s="1012" t="str">
        <f>INDEX(TEMPLATE_DATA_POINT_FHD,B54,MATCH(TEMPLATE_SPHERE,TEMPLATE_SPHERE_LIST_FOR_NOTE,0))</f>
        <v>Изменение стоимости основных фондов, в том числе:</v>
      </c>
      <c r="K54" s="1012" t="str">
        <f>INDEX(TEMPLATE_NOTE_POINT_FHD,B54,MATCH(TEMPLATE_SPHERE,TEMPLATE_SPHERE_LIST_FOR_NOTE,0))</f>
        <v>Указывается общее изменение стоимости основных фондов.</v>
      </c>
      <c r="L54" s="850" t="str">
        <f>IF(I54=0,"",I54)</f>
        <v>5</v>
      </c>
      <c r="M54" s="850" t="str">
        <f>IF(J54=0,"",J54)</f>
        <v>Изменение стоимости основных фондов, в том числе:</v>
      </c>
      <c r="N54" s="850" t="str">
        <f>IF(K54=0,"",K54)</f>
        <v>Указывается общее изменение стоимости основных фондов.</v>
      </c>
      <c r="O54" s="964" t="s">
        <v>110</v>
      </c>
      <c r="P54" s="964" t="s">
        <v>90</v>
      </c>
      <c r="Q54" s="964" t="s">
        <v>90</v>
      </c>
      <c r="R54" s="964" t="s">
        <v>90</v>
      </c>
      <c r="S54" s="964"/>
      <c r="T54" s="849" t="s">
        <v>652</v>
      </c>
      <c r="U54" s="849" t="s">
        <v>652</v>
      </c>
      <c r="V54" s="849" t="s">
        <v>652</v>
      </c>
      <c r="W54" s="849" t="s">
        <v>652</v>
      </c>
      <c r="X54" s="849"/>
      <c r="Y54" s="1007"/>
      <c r="Z54" s="852" t="s">
        <v>653</v>
      </c>
      <c r="AA54" s="852" t="s">
        <v>653</v>
      </c>
      <c r="AB54" s="852" t="s">
        <v>653</v>
      </c>
      <c r="AC54" s="852" t="s">
        <v>653</v>
      </c>
      <c r="AD54" s="852"/>
    </row>
    <row customHeight="1" ht="36">
      <c r="A55" s="851"/>
      <c r="B55" s="905">
        <v>38</v>
      </c>
      <c r="C55" s="849">
        <v>1</v>
      </c>
      <c r="D55" s="974"/>
      <c r="E55" s="849"/>
      <c r="F55" s="849"/>
      <c r="G55" s="849"/>
      <c r="H55" s="897"/>
      <c r="I55" s="1012" t="str">
        <f>INDEX(TEMPLATE_NUMBER_POINT_FHD,B55,MATCH(TEMPLATE_SPHERE,TEMPLATE_SPHERE_LIST_FOR_NOTE,0))</f>
        <v>5.1</v>
      </c>
      <c r="J55" s="1012" t="str">
        <f>INDEX(TEMPLATE_DATA_POINT_FHD,B55,MATCH(TEMPLATE_SPHERE,TEMPLATE_SPHERE_LIST_FOR_NOTE,0))</f>
        <v>Изменение стоимости основных фондов за счет:</v>
      </c>
      <c r="K55" s="1012"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0" t="str">
        <f>IF(I55=0,"",I55)</f>
        <v>5.1</v>
      </c>
      <c r="M55" s="850" t="str">
        <f>IF(J55=0,"",J55)</f>
        <v>Изменение стоимости основных фондов за счет:</v>
      </c>
      <c r="N55" s="850" t="str">
        <f>IF(K55=0,"",K55)</f>
        <v>Указываются общее изменение стоимости основных фондов за счет их ввода в эксплуатацию и вывода из эксплуатации.</v>
      </c>
      <c r="O55" s="964" t="s">
        <v>306</v>
      </c>
      <c r="P55" s="964" t="s">
        <v>654</v>
      </c>
      <c r="Q55" s="964" t="s">
        <v>654</v>
      </c>
      <c r="R55" s="964" t="s">
        <v>654</v>
      </c>
      <c r="S55" s="964"/>
      <c r="T55" s="849" t="s">
        <v>2051</v>
      </c>
      <c r="U55" s="849" t="s">
        <v>2052</v>
      </c>
      <c r="V55" s="849" t="s">
        <v>2052</v>
      </c>
      <c r="W55" s="849" t="s">
        <v>2052</v>
      </c>
      <c r="X55" s="849"/>
      <c r="Y55" s="1007"/>
      <c r="Z55" s="852" t="s">
        <v>2053</v>
      </c>
      <c r="AA55" s="852" t="s">
        <v>2053</v>
      </c>
      <c r="AB55" s="852" t="s">
        <v>2053</v>
      </c>
      <c r="AC55" s="852" t="s">
        <v>2053</v>
      </c>
      <c r="AD55" s="852"/>
    </row>
    <row customHeight="1" ht="27">
      <c r="A56" s="851"/>
      <c r="B56" s="905">
        <v>39</v>
      </c>
      <c r="C56" s="849" t="s">
        <v>923</v>
      </c>
      <c r="D56" s="974"/>
      <c r="E56" s="849"/>
      <c r="F56" s="849"/>
      <c r="G56" s="849"/>
      <c r="H56" s="897"/>
      <c r="I56" s="1012" t="str">
        <f>INDEX(TEMPLATE_NUMBER_POINT_FHD,B56,MATCH(TEMPLATE_SPHERE,TEMPLATE_SPHERE_LIST_FOR_NOTE,0))</f>
        <v>5.1.1</v>
      </c>
      <c r="J56" s="1012" t="str">
        <f>INDEX(TEMPLATE_DATA_POINT_FHD,B56,MATCH(TEMPLATE_SPHERE,TEMPLATE_SPHERE_LIST_FOR_NOTE,0))</f>
        <v>Изменения стоимости основных фондов за счет их ввода в эксплуатацию</v>
      </c>
      <c r="K56" s="1012" t="str">
        <f>INDEX(TEMPLATE_NOTE_POINT_FHD,B56,MATCH(TEMPLATE_SPHERE,TEMPLATE_SPHERE_LIST_FOR_NOTE,0))</f>
        <v>Указываются изменение стоимости основных фондов за счет их ввода в эксплуатацию.</v>
      </c>
      <c r="L56" s="850" t="str">
        <f>IF(I56=0,"",I56)</f>
        <v>5.1.1</v>
      </c>
      <c r="M56" s="850" t="str">
        <f>IF(J56=0,"",J56)</f>
        <v>Изменения стоимости основных фондов за счет их ввода в эксплуатацию</v>
      </c>
      <c r="N56" s="850" t="str">
        <f>IF(K56=0,"",K56)</f>
        <v>Указываются изменение стоимости основных фондов за счет их ввода в эксплуатацию.</v>
      </c>
      <c r="O56" s="964" t="s">
        <v>1049</v>
      </c>
      <c r="P56" s="964" t="s">
        <v>657</v>
      </c>
      <c r="Q56" s="964" t="s">
        <v>657</v>
      </c>
      <c r="R56" s="964" t="s">
        <v>657</v>
      </c>
      <c r="S56" s="964"/>
      <c r="T56" s="849" t="s">
        <v>2054</v>
      </c>
      <c r="U56" s="849" t="s">
        <v>2055</v>
      </c>
      <c r="V56" s="849" t="s">
        <v>2055</v>
      </c>
      <c r="W56" s="849" t="s">
        <v>2055</v>
      </c>
      <c r="X56" s="849"/>
      <c r="Y56" s="1007"/>
      <c r="Z56" s="852" t="s">
        <v>659</v>
      </c>
      <c r="AA56" s="852" t="s">
        <v>659</v>
      </c>
      <c r="AB56" s="852" t="s">
        <v>659</v>
      </c>
      <c r="AC56" s="852" t="s">
        <v>659</v>
      </c>
      <c r="AD56" s="852"/>
    </row>
    <row customHeight="1" ht="27">
      <c r="A57" s="851"/>
      <c r="B57" s="905">
        <v>40</v>
      </c>
      <c r="C57" s="849" t="s">
        <v>925</v>
      </c>
      <c r="D57" s="974"/>
      <c r="E57" s="849"/>
      <c r="F57" s="849"/>
      <c r="G57" s="849"/>
      <c r="H57" s="897"/>
      <c r="I57" s="1012" t="str">
        <f>INDEX(TEMPLATE_NUMBER_POINT_FHD,B57,MATCH(TEMPLATE_SPHERE,TEMPLATE_SPHERE_LIST_FOR_NOTE,0))</f>
        <v>5.1.2</v>
      </c>
      <c r="J57" s="1012" t="str">
        <f>INDEX(TEMPLATE_DATA_POINT_FHD,B57,MATCH(TEMPLATE_SPHERE,TEMPLATE_SPHERE_LIST_FOR_NOTE,0))</f>
        <v>Изменения стоимости основных фондов за счет их вывода в эксплуатацию</v>
      </c>
      <c r="K57" s="1012" t="str">
        <f>INDEX(TEMPLATE_NOTE_POINT_FHD,B57,MATCH(TEMPLATE_SPHERE,TEMPLATE_SPHERE_LIST_FOR_NOTE,0))</f>
        <v>Указываются изменение стоимости основных фондов за счет их вывода из эксплуатации.</v>
      </c>
      <c r="L57" s="850" t="str">
        <f>IF(I57=0,"",I57)</f>
        <v>5.1.2</v>
      </c>
      <c r="M57" s="850" t="str">
        <f>IF(J57=0,"",J57)</f>
        <v>Изменения стоимости основных фондов за счет их вывода в эксплуатацию</v>
      </c>
      <c r="N57" s="850" t="str">
        <f>IF(K57=0,"",K57)</f>
        <v>Указываются изменение стоимости основных фондов за счет их вывода из эксплуатации.</v>
      </c>
      <c r="O57" s="964" t="s">
        <v>2056</v>
      </c>
      <c r="P57" s="964" t="s">
        <v>660</v>
      </c>
      <c r="Q57" s="964" t="s">
        <v>660</v>
      </c>
      <c r="R57" s="964" t="s">
        <v>660</v>
      </c>
      <c r="S57" s="964"/>
      <c r="T57" s="849" t="s">
        <v>2057</v>
      </c>
      <c r="U57" s="849" t="s">
        <v>2058</v>
      </c>
      <c r="V57" s="849" t="s">
        <v>2058</v>
      </c>
      <c r="W57" s="849" t="s">
        <v>2058</v>
      </c>
      <c r="X57" s="849"/>
      <c r="Y57" s="1007"/>
      <c r="Z57" s="852" t="s">
        <v>662</v>
      </c>
      <c r="AA57" s="852" t="s">
        <v>662</v>
      </c>
      <c r="AB57" s="852" t="s">
        <v>662</v>
      </c>
      <c r="AC57" s="852" t="s">
        <v>662</v>
      </c>
      <c r="AD57" s="852"/>
    </row>
    <row customHeight="1" ht="18">
      <c r="A58" s="851"/>
      <c r="B58" s="905">
        <v>41</v>
      </c>
      <c r="C58" s="849">
        <v>2</v>
      </c>
      <c r="D58" s="974"/>
      <c r="E58" s="849"/>
      <c r="F58" s="849"/>
      <c r="G58" s="849"/>
      <c r="H58" s="897"/>
      <c r="I58" s="1012" t="str">
        <f>INDEX(TEMPLATE_NUMBER_POINT_FHD,B58,MATCH(TEMPLATE_SPHERE,TEMPLATE_SPHERE_LIST_FOR_NOTE,0))</f>
        <v>5.2</v>
      </c>
      <c r="J58" s="1012" t="str">
        <f>INDEX(TEMPLATE_DATA_POINT_FHD,B58,MATCH(TEMPLATE_SPHERE,TEMPLATE_SPHERE_LIST_FOR_NOTE,0))</f>
        <v>Изменение стоимости основных фондов за счет их переоценки</v>
      </c>
      <c r="K58" s="1012">
        <f>INDEX(TEMPLATE_NOTE_POINT_FHD,B58,MATCH(TEMPLATE_SPHERE,TEMPLATE_SPHERE_LIST_FOR_NOTE,0))</f>
        <v>0</v>
      </c>
      <c r="L58" s="850" t="str">
        <f>IF(I58=0,"",I58)</f>
        <v>5.2</v>
      </c>
      <c r="M58" s="850" t="str">
        <f>IF(J58=0,"",J58)</f>
        <v>Изменение стоимости основных фондов за счет их переоценки</v>
      </c>
      <c r="N58" s="850" t="str">
        <f>IF(K58=0,"",K58)</f>
        <v/>
      </c>
      <c r="O58" s="964" t="s">
        <v>308</v>
      </c>
      <c r="P58" s="964" t="s">
        <v>697</v>
      </c>
      <c r="Q58" s="964" t="s">
        <v>697</v>
      </c>
      <c r="R58" s="964" t="s">
        <v>697</v>
      </c>
      <c r="S58" s="964"/>
      <c r="T58" s="849" t="s">
        <v>2059</v>
      </c>
      <c r="U58" s="849" t="s">
        <v>2059</v>
      </c>
      <c r="V58" s="849" t="s">
        <v>2059</v>
      </c>
      <c r="W58" s="849" t="s">
        <v>2059</v>
      </c>
      <c r="X58" s="849"/>
      <c r="Y58" s="1007"/>
      <c r="Z58" s="852"/>
      <c r="AA58" s="855"/>
      <c r="AB58" s="852"/>
      <c r="AC58" s="852"/>
      <c r="AD58" s="852"/>
    </row>
    <row customHeight="1" ht="36">
      <c r="A59" s="851"/>
      <c r="B59" s="905">
        <v>42</v>
      </c>
      <c r="C59" s="849">
        <v>3</v>
      </c>
      <c r="D59" s="974" t="s">
        <v>2044</v>
      </c>
      <c r="E59" s="849" t="s">
        <v>2044</v>
      </c>
      <c r="F59" s="849" t="s">
        <v>2044</v>
      </c>
      <c r="G59" s="849"/>
      <c r="H59" s="897"/>
      <c r="I59" s="1012">
        <f>INDEX(TEMPLATE_NUMBER_POINT_FHD,B59,MATCH(TEMPLATE_SPHERE,TEMPLATE_SPHERE_LIST_FOR_NOTE,0))</f>
        <v>0</v>
      </c>
      <c r="J59" s="1012">
        <f>INDEX(TEMPLATE_DATA_POINT_FHD,B59,MATCH(TEMPLATE_SPHERE,TEMPLATE_SPHERE_LIST_FOR_NOTE,0))</f>
        <v>0</v>
      </c>
      <c r="K59" s="1012">
        <f>INDEX(TEMPLATE_NOTE_POINT_FHD,B59,MATCH(TEMPLATE_SPHERE,TEMPLATE_SPHERE_LIST_FOR_NOTE,0))</f>
        <v>0</v>
      </c>
      <c r="L59" s="850" t="str">
        <f>IF(I59=0,"",I59)</f>
        <v/>
      </c>
      <c r="M59" s="850" t="str">
        <f>IF(J59=0,"",J59)</f>
        <v/>
      </c>
      <c r="N59" s="850" t="str">
        <f>IF(K59=0,"",K59)</f>
        <v/>
      </c>
      <c r="O59" s="964"/>
      <c r="P59" s="964" t="s">
        <v>110</v>
      </c>
      <c r="Q59" s="964" t="s">
        <v>110</v>
      </c>
      <c r="R59" s="964" t="s">
        <v>110</v>
      </c>
      <c r="S59" s="964"/>
      <c r="T59" s="849"/>
      <c r="U59" s="849" t="s">
        <v>2060</v>
      </c>
      <c r="V59" s="849" t="s">
        <v>2061</v>
      </c>
      <c r="W59" s="849" t="s">
        <v>2062</v>
      </c>
      <c r="X59" s="849"/>
      <c r="Y59" s="1007"/>
      <c r="Z59" s="852"/>
      <c r="AA59" s="855"/>
      <c r="AB59" s="852"/>
      <c r="AC59" s="852"/>
      <c r="AD59" s="852"/>
    </row>
    <row customHeight="1" ht="81">
      <c r="A60" s="851"/>
      <c r="B60" s="905">
        <v>43</v>
      </c>
      <c r="C60" s="849" t="s">
        <v>2063</v>
      </c>
      <c r="D60" s="974" t="s">
        <v>2063</v>
      </c>
      <c r="E60" s="849" t="s">
        <v>2063</v>
      </c>
      <c r="F60" s="849" t="s">
        <v>2063</v>
      </c>
      <c r="G60" s="849"/>
      <c r="H60" s="897"/>
      <c r="I60" s="1012" t="str">
        <f>INDEX(TEMPLATE_NUMBER_POINT_FHD,B60,MATCH(TEMPLATE_SPHERE,TEMPLATE_SPHERE_LIST_FOR_NOTE,0))</f>
        <v>6</v>
      </c>
      <c r="J60" s="1012"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2"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50" t="str">
        <f>IF(I60=0,"",I60)</f>
        <v>6</v>
      </c>
      <c r="M60" s="850" t="str">
        <f>IF(J60=0,"",J60)</f>
        <v>Годовая бухгалтерская (финансовая) отчетность, включая бухгалтерский баланс и приложения к нему</v>
      </c>
      <c r="N60" s="850"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4" t="s">
        <v>91</v>
      </c>
      <c r="P60" s="964" t="s">
        <v>91</v>
      </c>
      <c r="Q60" s="964" t="s">
        <v>91</v>
      </c>
      <c r="R60" s="964" t="s">
        <v>91</v>
      </c>
      <c r="S60" s="964"/>
      <c r="T60" s="849" t="s">
        <v>666</v>
      </c>
      <c r="U60" s="849" t="s">
        <v>666</v>
      </c>
      <c r="V60" s="849" t="s">
        <v>666</v>
      </c>
      <c r="W60" s="849" t="s">
        <v>666</v>
      </c>
      <c r="X60" s="849"/>
      <c r="Y60" s="1007"/>
      <c r="Z60" s="852" t="s">
        <v>2064</v>
      </c>
      <c r="AA60" s="855" t="s">
        <v>2065</v>
      </c>
      <c r="AB60" s="852" t="s">
        <v>2066</v>
      </c>
      <c r="AC60" s="852" t="s">
        <v>2065</v>
      </c>
      <c r="AD60" s="852"/>
    </row>
    <row customHeight="1" ht="9">
      <c r="A61" s="851"/>
      <c r="B61" s="905">
        <v>44</v>
      </c>
      <c r="C61" s="849"/>
      <c r="D61" s="974" t="s">
        <v>2067</v>
      </c>
      <c r="E61" s="849"/>
      <c r="F61" s="849"/>
      <c r="G61" s="849"/>
      <c r="H61" s="897"/>
      <c r="I61" s="1012">
        <f>INDEX(TEMPLATE_NUMBER_POINT_FHD,B61,MATCH(TEMPLATE_SPHERE,TEMPLATE_SPHERE_LIST_FOR_NOTE,0))</f>
        <v>0</v>
      </c>
      <c r="J61" s="1012">
        <f>INDEX(TEMPLATE_DATA_POINT_FHD,B61,MATCH(TEMPLATE_SPHERE,TEMPLATE_SPHERE_LIST_FOR_NOTE,0))</f>
        <v>0</v>
      </c>
      <c r="K61" s="1012">
        <f>INDEX(TEMPLATE_NOTE_POINT_FHD,B61,MATCH(TEMPLATE_SPHERE,TEMPLATE_SPHERE_LIST_FOR_NOTE,0))</f>
        <v>0</v>
      </c>
      <c r="L61" s="850" t="str">
        <f>IF(I61=0,"",I61)</f>
        <v/>
      </c>
      <c r="M61" s="850" t="str">
        <f>IF(J61=0,"",J61)</f>
        <v/>
      </c>
      <c r="N61" s="850" t="str">
        <f>IF(K61=0,"",K61)</f>
        <v/>
      </c>
      <c r="O61" s="964"/>
      <c r="P61" s="964" t="s">
        <v>92</v>
      </c>
      <c r="Q61" s="964"/>
      <c r="R61" s="964"/>
      <c r="S61" s="964"/>
      <c r="T61" s="849"/>
      <c r="U61" s="849" t="s">
        <v>2068</v>
      </c>
      <c r="V61" s="849"/>
      <c r="W61" s="849"/>
      <c r="X61" s="849"/>
      <c r="Y61" s="1007"/>
      <c r="Z61" s="852"/>
      <c r="AA61" s="855"/>
      <c r="AB61" s="852"/>
      <c r="AC61" s="852"/>
      <c r="AD61" s="852"/>
    </row>
    <row customHeight="1" ht="9">
      <c r="A62" s="851"/>
      <c r="B62" s="905">
        <v>45</v>
      </c>
      <c r="C62" s="849"/>
      <c r="D62" s="974" t="s">
        <v>2069</v>
      </c>
      <c r="E62" s="849"/>
      <c r="F62" s="849"/>
      <c r="G62" s="849"/>
      <c r="H62" s="897"/>
      <c r="I62" s="1012">
        <f>INDEX(TEMPLATE_NUMBER_POINT_FHD,B62,MATCH(TEMPLATE_SPHERE,TEMPLATE_SPHERE_LIST_FOR_NOTE,0))</f>
        <v>0</v>
      </c>
      <c r="J62" s="1012">
        <f>INDEX(TEMPLATE_DATA_POINT_FHD,B62,MATCH(TEMPLATE_SPHERE,TEMPLATE_SPHERE_LIST_FOR_NOTE,0))</f>
        <v>0</v>
      </c>
      <c r="K62" s="1012">
        <f>INDEX(TEMPLATE_NOTE_POINT_FHD,B62,MATCH(TEMPLATE_SPHERE,TEMPLATE_SPHERE_LIST_FOR_NOTE,0))</f>
        <v>0</v>
      </c>
      <c r="L62" s="850" t="str">
        <f>IF(I62=0,"",I62)</f>
        <v/>
      </c>
      <c r="M62" s="850" t="str">
        <f>IF(J62=0,"",J62)</f>
        <v/>
      </c>
      <c r="N62" s="850" t="str">
        <f>IF(K62=0,"",K62)</f>
        <v/>
      </c>
      <c r="O62" s="964"/>
      <c r="P62" s="964" t="s">
        <v>111</v>
      </c>
      <c r="Q62" s="964"/>
      <c r="R62" s="964"/>
      <c r="S62" s="964"/>
      <c r="T62" s="849"/>
      <c r="U62" s="849" t="s">
        <v>2070</v>
      </c>
      <c r="V62" s="849"/>
      <c r="W62" s="849"/>
      <c r="X62" s="849"/>
      <c r="Y62" s="1007"/>
      <c r="Z62" s="852"/>
      <c r="AA62" s="855"/>
      <c r="AB62" s="852"/>
      <c r="AC62" s="852"/>
      <c r="AD62" s="852"/>
    </row>
    <row customHeight="1" ht="18">
      <c r="A63" s="851"/>
      <c r="B63" s="905">
        <v>46</v>
      </c>
      <c r="C63" s="849"/>
      <c r="D63" s="974" t="s">
        <v>2071</v>
      </c>
      <c r="E63" s="849"/>
      <c r="F63" s="849"/>
      <c r="G63" s="849"/>
      <c r="H63" s="897"/>
      <c r="I63" s="1012">
        <f>INDEX(TEMPLATE_NUMBER_POINT_FHD,B63,MATCH(TEMPLATE_SPHERE,TEMPLATE_SPHERE_LIST_FOR_NOTE,0))</f>
        <v>0</v>
      </c>
      <c r="J63" s="1012">
        <f>INDEX(TEMPLATE_DATA_POINT_FHD,B63,MATCH(TEMPLATE_SPHERE,TEMPLATE_SPHERE_LIST_FOR_NOTE,0))</f>
        <v>0</v>
      </c>
      <c r="K63" s="1012">
        <f>INDEX(TEMPLATE_NOTE_POINT_FHD,B63,MATCH(TEMPLATE_SPHERE,TEMPLATE_SPHERE_LIST_FOR_NOTE,0))</f>
        <v>0</v>
      </c>
      <c r="L63" s="850" t="str">
        <f>IF(I63=0,"",I63)</f>
        <v/>
      </c>
      <c r="M63" s="850" t="str">
        <f>IF(J63=0,"",J63)</f>
        <v/>
      </c>
      <c r="N63" s="850" t="str">
        <f>IF(K63=0,"",K63)</f>
        <v/>
      </c>
      <c r="O63" s="964"/>
      <c r="P63" s="964" t="s">
        <v>147</v>
      </c>
      <c r="Q63" s="964"/>
      <c r="R63" s="964"/>
      <c r="S63" s="964"/>
      <c r="T63" s="849"/>
      <c r="U63" s="849" t="s">
        <v>2072</v>
      </c>
      <c r="V63" s="849"/>
      <c r="W63" s="849"/>
      <c r="X63" s="849"/>
      <c r="Y63" s="1007"/>
      <c r="Z63" s="852"/>
      <c r="AA63" s="855"/>
      <c r="AB63" s="852"/>
      <c r="AC63" s="852"/>
      <c r="AD63" s="852"/>
    </row>
    <row customHeight="1" ht="18">
      <c r="A64" s="851"/>
      <c r="B64" s="905">
        <v>47</v>
      </c>
      <c r="C64" s="849"/>
      <c r="D64" s="974" t="s">
        <v>2073</v>
      </c>
      <c r="E64" s="849"/>
      <c r="F64" s="849"/>
      <c r="G64" s="849"/>
      <c r="H64" s="897"/>
      <c r="I64" s="1012">
        <f>INDEX(TEMPLATE_NUMBER_POINT_FHD,B64,MATCH(TEMPLATE_SPHERE,TEMPLATE_SPHERE_LIST_FOR_NOTE,0))</f>
        <v>0</v>
      </c>
      <c r="J64" s="1012">
        <f>INDEX(TEMPLATE_DATA_POINT_FHD,B64,MATCH(TEMPLATE_SPHERE,TEMPLATE_SPHERE_LIST_FOR_NOTE,0))</f>
        <v>0</v>
      </c>
      <c r="K64" s="1012">
        <f>INDEX(TEMPLATE_NOTE_POINT_FHD,B64,MATCH(TEMPLATE_SPHERE,TEMPLATE_SPHERE_LIST_FOR_NOTE,0))</f>
        <v>0</v>
      </c>
      <c r="L64" s="850" t="str">
        <f>IF(I64=0,"",I64)</f>
        <v/>
      </c>
      <c r="M64" s="850" t="str">
        <f>IF(J64=0,"",J64)</f>
        <v/>
      </c>
      <c r="N64" s="850" t="str">
        <f>IF(K64=0,"",K64)</f>
        <v/>
      </c>
      <c r="O64" s="964"/>
      <c r="P64" s="964" t="s">
        <v>148</v>
      </c>
      <c r="Q64" s="964"/>
      <c r="R64" s="964"/>
      <c r="S64" s="964"/>
      <c r="T64" s="849"/>
      <c r="U64" s="849" t="s">
        <v>2074</v>
      </c>
      <c r="V64" s="849"/>
      <c r="W64" s="849"/>
      <c r="X64" s="849"/>
      <c r="Y64" s="1007"/>
      <c r="Z64" s="852"/>
      <c r="AA64" s="855" t="s">
        <v>2075</v>
      </c>
      <c r="AB64" s="852"/>
      <c r="AC64" s="852"/>
      <c r="AD64" s="852"/>
    </row>
    <row customHeight="1" ht="18">
      <c r="A65" s="851"/>
      <c r="B65" s="905">
        <v>48</v>
      </c>
      <c r="C65" s="849"/>
      <c r="D65" s="974"/>
      <c r="E65" s="849"/>
      <c r="F65" s="849"/>
      <c r="G65" s="849"/>
      <c r="H65" s="897"/>
      <c r="I65" s="1012">
        <f>INDEX(TEMPLATE_NUMBER_POINT_FHD,B65,MATCH(TEMPLATE_SPHERE,TEMPLATE_SPHERE_LIST_FOR_NOTE,0))</f>
        <v>0</v>
      </c>
      <c r="J65" s="1012">
        <f>INDEX(TEMPLATE_DATA_POINT_FHD,B65,MATCH(TEMPLATE_SPHERE,TEMPLATE_SPHERE_LIST_FOR_NOTE,0))</f>
        <v>0</v>
      </c>
      <c r="K65" s="1012">
        <f>INDEX(TEMPLATE_NOTE_POINT_FHD,B65,MATCH(TEMPLATE_SPHERE,TEMPLATE_SPHERE_LIST_FOR_NOTE,0))</f>
        <v>0</v>
      </c>
      <c r="L65" s="850" t="str">
        <f>IF(I65=0,"",I65)</f>
        <v/>
      </c>
      <c r="M65" s="850" t="str">
        <f>IF(J65=0,"",J65)</f>
        <v/>
      </c>
      <c r="N65" s="850" t="str">
        <f>IF(K65=0,"",K65)</f>
        <v/>
      </c>
      <c r="O65" s="964"/>
      <c r="P65" s="964" t="s">
        <v>1985</v>
      </c>
      <c r="Q65" s="964"/>
      <c r="R65" s="964"/>
      <c r="S65" s="964"/>
      <c r="T65" s="849"/>
      <c r="U65" s="849" t="s">
        <v>2076</v>
      </c>
      <c r="V65" s="849"/>
      <c r="W65" s="849"/>
      <c r="X65" s="849"/>
      <c r="Y65" s="1007"/>
      <c r="Z65" s="852"/>
      <c r="AA65" s="855"/>
      <c r="AB65" s="852"/>
      <c r="AC65" s="852"/>
      <c r="AD65" s="852"/>
    </row>
    <row customHeight="1" ht="18">
      <c r="A66" s="851"/>
      <c r="B66" s="905">
        <v>49</v>
      </c>
      <c r="C66" s="849"/>
      <c r="D66" s="974"/>
      <c r="E66" s="849"/>
      <c r="F66" s="849"/>
      <c r="G66" s="849"/>
      <c r="H66" s="897"/>
      <c r="I66" s="1012">
        <f>INDEX(TEMPLATE_NUMBER_POINT_FHD,B66,MATCH(TEMPLATE_SPHERE,TEMPLATE_SPHERE_LIST_FOR_NOTE,0))</f>
        <v>0</v>
      </c>
      <c r="J66" s="1012">
        <f>INDEX(TEMPLATE_DATA_POINT_FHD,B66,MATCH(TEMPLATE_SPHERE,TEMPLATE_SPHERE_LIST_FOR_NOTE,0))</f>
        <v>0</v>
      </c>
      <c r="K66" s="1012">
        <f>INDEX(TEMPLATE_NOTE_POINT_FHD,B66,MATCH(TEMPLATE_SPHERE,TEMPLATE_SPHERE_LIST_FOR_NOTE,0))</f>
        <v>0</v>
      </c>
      <c r="L66" s="850" t="str">
        <f>IF(I66=0,"",I66)</f>
        <v/>
      </c>
      <c r="M66" s="850" t="str">
        <f>IF(J66=0,"",J66)</f>
        <v/>
      </c>
      <c r="N66" s="850" t="str">
        <f>IF(K66=0,"",K66)</f>
        <v/>
      </c>
      <c r="O66" s="964"/>
      <c r="P66" s="964" t="s">
        <v>1989</v>
      </c>
      <c r="Q66" s="964"/>
      <c r="R66" s="964"/>
      <c r="S66" s="964"/>
      <c r="T66" s="849"/>
      <c r="U66" s="849" t="s">
        <v>2077</v>
      </c>
      <c r="V66" s="849"/>
      <c r="W66" s="849"/>
      <c r="X66" s="849"/>
      <c r="Y66" s="1007"/>
      <c r="Z66" s="852"/>
      <c r="AA66" s="855"/>
      <c r="AB66" s="852"/>
      <c r="AC66" s="852"/>
      <c r="AD66" s="852"/>
    </row>
    <row customHeight="1" ht="27">
      <c r="A67" s="851"/>
      <c r="B67" s="905">
        <v>50</v>
      </c>
      <c r="C67" s="849"/>
      <c r="D67" s="974"/>
      <c r="E67" s="849"/>
      <c r="F67" s="849"/>
      <c r="G67" s="849"/>
      <c r="H67" s="897"/>
      <c r="I67" s="1012">
        <f>INDEX(TEMPLATE_NUMBER_POINT_FHD,B67,MATCH(TEMPLATE_SPHERE,TEMPLATE_SPHERE_LIST_FOR_NOTE,0))</f>
        <v>0</v>
      </c>
      <c r="J67" s="1012">
        <f>INDEX(TEMPLATE_DATA_POINT_FHD,B67,MATCH(TEMPLATE_SPHERE,TEMPLATE_SPHERE_LIST_FOR_NOTE,0))</f>
        <v>0</v>
      </c>
      <c r="K67" s="1012">
        <f>INDEX(TEMPLATE_NOTE_POINT_FHD,B67,MATCH(TEMPLATE_SPHERE,TEMPLATE_SPHERE_LIST_FOR_NOTE,0))</f>
        <v>0</v>
      </c>
      <c r="L67" s="850" t="str">
        <f>IF(I67=0,"",I67)</f>
        <v/>
      </c>
      <c r="M67" s="850" t="str">
        <f>IF(J67=0,"",J67)</f>
        <v/>
      </c>
      <c r="N67" s="850" t="str">
        <f>IF(K67=0,"",K67)</f>
        <v/>
      </c>
      <c r="O67" s="964"/>
      <c r="P67" s="964" t="s">
        <v>2078</v>
      </c>
      <c r="Q67" s="964"/>
      <c r="R67" s="964"/>
      <c r="S67" s="964"/>
      <c r="T67" s="849"/>
      <c r="U67" s="849" t="s">
        <v>2079</v>
      </c>
      <c r="V67" s="849"/>
      <c r="W67" s="849"/>
      <c r="X67" s="849"/>
      <c r="Y67" s="1007"/>
      <c r="Z67" s="852"/>
      <c r="AA67" s="855"/>
      <c r="AB67" s="852"/>
      <c r="AC67" s="852"/>
      <c r="AD67" s="852"/>
    </row>
    <row customHeight="1" ht="27">
      <c r="A68" s="851"/>
      <c r="B68" s="905">
        <v>51</v>
      </c>
      <c r="C68" s="849"/>
      <c r="D68" s="974"/>
      <c r="E68" s="849"/>
      <c r="F68" s="849"/>
      <c r="G68" s="849"/>
      <c r="H68" s="897"/>
      <c r="I68" s="1012">
        <f>INDEX(TEMPLATE_NUMBER_POINT_FHD,B68,MATCH(TEMPLATE_SPHERE,TEMPLATE_SPHERE_LIST_FOR_NOTE,0))</f>
        <v>0</v>
      </c>
      <c r="J68" s="1012">
        <f>INDEX(TEMPLATE_DATA_POINT_FHD,B68,MATCH(TEMPLATE_SPHERE,TEMPLATE_SPHERE_LIST_FOR_NOTE,0))</f>
        <v>0</v>
      </c>
      <c r="K68" s="1012">
        <f>INDEX(TEMPLATE_NOTE_POINT_FHD,B68,MATCH(TEMPLATE_SPHERE,TEMPLATE_SPHERE_LIST_FOR_NOTE,0))</f>
        <v>0</v>
      </c>
      <c r="L68" s="850" t="str">
        <f>IF(I68=0,"",I68)</f>
        <v/>
      </c>
      <c r="M68" s="850" t="str">
        <f>IF(J68=0,"",J68)</f>
        <v/>
      </c>
      <c r="N68" s="850" t="str">
        <f>IF(K68=0,"",K68)</f>
        <v/>
      </c>
      <c r="O68" s="964"/>
      <c r="P68" s="964" t="s">
        <v>2080</v>
      </c>
      <c r="Q68" s="964"/>
      <c r="R68" s="964"/>
      <c r="S68" s="964"/>
      <c r="T68" s="849"/>
      <c r="U68" s="849" t="s">
        <v>2081</v>
      </c>
      <c r="V68" s="849"/>
      <c r="W68" s="849"/>
      <c r="X68" s="849"/>
      <c r="Y68" s="1007"/>
      <c r="Z68" s="852"/>
      <c r="AA68" s="855"/>
      <c r="AB68" s="852"/>
      <c r="AC68" s="852"/>
      <c r="AD68" s="852"/>
    </row>
    <row customHeight="1" ht="9">
      <c r="A69" s="851"/>
      <c r="B69" s="905">
        <v>52</v>
      </c>
      <c r="C69" s="849"/>
      <c r="D69" s="974" t="s">
        <v>2082</v>
      </c>
      <c r="E69" s="849"/>
      <c r="F69" s="849"/>
      <c r="G69" s="849"/>
      <c r="H69" s="897"/>
      <c r="I69" s="1012">
        <f>INDEX(TEMPLATE_NUMBER_POINT_FHD,B69,MATCH(TEMPLATE_SPHERE,TEMPLATE_SPHERE_LIST_FOR_NOTE,0))</f>
        <v>0</v>
      </c>
      <c r="J69" s="1012">
        <f>INDEX(TEMPLATE_DATA_POINT_FHD,B69,MATCH(TEMPLATE_SPHERE,TEMPLATE_SPHERE_LIST_FOR_NOTE,0))</f>
        <v>0</v>
      </c>
      <c r="K69" s="1012">
        <f>INDEX(TEMPLATE_NOTE_POINT_FHD,B69,MATCH(TEMPLATE_SPHERE,TEMPLATE_SPHERE_LIST_FOR_NOTE,0))</f>
        <v>0</v>
      </c>
      <c r="L69" s="850" t="str">
        <f>IF(I69=0,"",I69)</f>
        <v/>
      </c>
      <c r="M69" s="850" t="str">
        <f>IF(J69=0,"",J69)</f>
        <v/>
      </c>
      <c r="N69" s="850" t="str">
        <f>IF(K69=0,"",K69)</f>
        <v/>
      </c>
      <c r="O69" s="964"/>
      <c r="P69" s="964" t="s">
        <v>149</v>
      </c>
      <c r="Q69" s="964"/>
      <c r="R69" s="964"/>
      <c r="S69" s="964"/>
      <c r="T69" s="849"/>
      <c r="U69" s="849" t="s">
        <v>2083</v>
      </c>
      <c r="V69" s="849"/>
      <c r="W69" s="849"/>
      <c r="X69" s="849"/>
      <c r="Y69" s="1007"/>
      <c r="Z69" s="852"/>
      <c r="AA69" s="855"/>
      <c r="AB69" s="852"/>
      <c r="AC69" s="852"/>
      <c r="AD69" s="852"/>
    </row>
    <row customHeight="1" ht="27">
      <c r="A70" s="851"/>
      <c r="B70" s="905">
        <v>53</v>
      </c>
      <c r="C70" s="849"/>
      <c r="D70" s="974"/>
      <c r="E70" s="849" t="s">
        <v>2067</v>
      </c>
      <c r="F70" s="849"/>
      <c r="G70" s="849"/>
      <c r="H70" s="897"/>
      <c r="I70" s="1012">
        <f>INDEX(TEMPLATE_NUMBER_POINT_FHD,B70,MATCH(TEMPLATE_SPHERE,TEMPLATE_SPHERE_LIST_FOR_NOTE,0))</f>
        <v>0</v>
      </c>
      <c r="J70" s="1012">
        <f>INDEX(TEMPLATE_DATA_POINT_FHD,B70,MATCH(TEMPLATE_SPHERE,TEMPLATE_SPHERE_LIST_FOR_NOTE,0))</f>
        <v>0</v>
      </c>
      <c r="K70" s="1012">
        <f>INDEX(TEMPLATE_NOTE_POINT_FHD,B70,MATCH(TEMPLATE_SPHERE,TEMPLATE_SPHERE_LIST_FOR_NOTE,0))</f>
        <v>0</v>
      </c>
      <c r="L70" s="850" t="str">
        <f>IF(I70=0,"",I70)</f>
        <v/>
      </c>
      <c r="M70" s="850" t="str">
        <f>IF(J70=0,"",J70)</f>
        <v/>
      </c>
      <c r="N70" s="850" t="str">
        <f>IF(K70=0,"",K70)</f>
        <v/>
      </c>
      <c r="O70" s="964"/>
      <c r="P70" s="964"/>
      <c r="Q70" s="964" t="s">
        <v>92</v>
      </c>
      <c r="R70" s="964"/>
      <c r="S70" s="964"/>
      <c r="T70" s="849"/>
      <c r="U70" s="849"/>
      <c r="V70" s="849" t="s">
        <v>2084</v>
      </c>
      <c r="W70" s="849"/>
      <c r="X70" s="849"/>
      <c r="Y70" s="1007"/>
      <c r="Z70" s="852"/>
      <c r="AA70" s="855"/>
      <c r="AB70" s="852"/>
      <c r="AC70" s="852"/>
      <c r="AD70" s="852"/>
    </row>
    <row customHeight="1" ht="36">
      <c r="A71" s="851"/>
      <c r="B71" s="905">
        <v>54</v>
      </c>
      <c r="C71" s="849"/>
      <c r="D71" s="974"/>
      <c r="E71" s="849" t="s">
        <v>2069</v>
      </c>
      <c r="F71" s="849"/>
      <c r="G71" s="849"/>
      <c r="H71" s="897"/>
      <c r="I71" s="1012">
        <f>INDEX(TEMPLATE_NUMBER_POINT_FHD,B71,MATCH(TEMPLATE_SPHERE,TEMPLATE_SPHERE_LIST_FOR_NOTE,0))</f>
        <v>0</v>
      </c>
      <c r="J71" s="1012">
        <f>INDEX(TEMPLATE_DATA_POINT_FHD,B71,MATCH(TEMPLATE_SPHERE,TEMPLATE_SPHERE_LIST_FOR_NOTE,0))</f>
        <v>0</v>
      </c>
      <c r="K71" s="1012">
        <f>INDEX(TEMPLATE_NOTE_POINT_FHD,B71,MATCH(TEMPLATE_SPHERE,TEMPLATE_SPHERE_LIST_FOR_NOTE,0))</f>
        <v>0</v>
      </c>
      <c r="L71" s="850" t="str">
        <f>IF(I71=0,"",I71)</f>
        <v/>
      </c>
      <c r="M71" s="850" t="str">
        <f>IF(J71=0,"",J71)</f>
        <v/>
      </c>
      <c r="N71" s="850" t="str">
        <f>IF(K71=0,"",K71)</f>
        <v/>
      </c>
      <c r="O71" s="964"/>
      <c r="P71" s="964"/>
      <c r="Q71" s="964" t="s">
        <v>111</v>
      </c>
      <c r="R71" s="964"/>
      <c r="S71" s="964"/>
      <c r="T71" s="849"/>
      <c r="U71" s="849"/>
      <c r="V71" s="849" t="s">
        <v>2085</v>
      </c>
      <c r="W71" s="849"/>
      <c r="X71" s="849"/>
      <c r="Y71" s="1007"/>
      <c r="Z71" s="852"/>
      <c r="AA71" s="855"/>
      <c r="AB71" s="852"/>
      <c r="AC71" s="852"/>
      <c r="AD71" s="852"/>
    </row>
    <row customHeight="1" ht="27">
      <c r="A72" s="851"/>
      <c r="B72" s="905">
        <v>55</v>
      </c>
      <c r="C72" s="849"/>
      <c r="D72" s="974"/>
      <c r="E72" s="849" t="s">
        <v>2071</v>
      </c>
      <c r="F72" s="849"/>
      <c r="G72" s="849"/>
      <c r="H72" s="897"/>
      <c r="I72" s="1012">
        <f>INDEX(TEMPLATE_NUMBER_POINT_FHD,B72,MATCH(TEMPLATE_SPHERE,TEMPLATE_SPHERE_LIST_FOR_NOTE,0))</f>
        <v>0</v>
      </c>
      <c r="J72" s="1012">
        <f>INDEX(TEMPLATE_DATA_POINT_FHD,B72,MATCH(TEMPLATE_SPHERE,TEMPLATE_SPHERE_LIST_FOR_NOTE,0))</f>
        <v>0</v>
      </c>
      <c r="K72" s="1012">
        <f>INDEX(TEMPLATE_NOTE_POINT_FHD,B72,MATCH(TEMPLATE_SPHERE,TEMPLATE_SPHERE_LIST_FOR_NOTE,0))</f>
        <v>0</v>
      </c>
      <c r="L72" s="850" t="str">
        <f>IF(I72=0,"",I72)</f>
        <v/>
      </c>
      <c r="M72" s="850" t="str">
        <f>IF(J72=0,"",J72)</f>
        <v/>
      </c>
      <c r="N72" s="850" t="str">
        <f>IF(K72=0,"",K72)</f>
        <v/>
      </c>
      <c r="O72" s="964"/>
      <c r="P72" s="964"/>
      <c r="Q72" s="964" t="s">
        <v>147</v>
      </c>
      <c r="R72" s="964"/>
      <c r="S72" s="964"/>
      <c r="T72" s="849"/>
      <c r="U72" s="849"/>
      <c r="V72" s="849" t="s">
        <v>2086</v>
      </c>
      <c r="W72" s="849"/>
      <c r="X72" s="849"/>
      <c r="Y72" s="1007"/>
      <c r="Z72" s="852"/>
      <c r="AA72" s="855"/>
      <c r="AB72" s="852"/>
      <c r="AC72" s="852"/>
      <c r="AD72" s="852"/>
    </row>
    <row customHeight="1" ht="36">
      <c r="A73" s="851"/>
      <c r="B73" s="905">
        <v>56</v>
      </c>
      <c r="C73" s="849"/>
      <c r="D73" s="974"/>
      <c r="E73" s="849" t="s">
        <v>2073</v>
      </c>
      <c r="F73" s="849"/>
      <c r="G73" s="849"/>
      <c r="H73" s="897"/>
      <c r="I73" s="1012">
        <f>INDEX(TEMPLATE_NUMBER_POINT_FHD,B73,MATCH(TEMPLATE_SPHERE,TEMPLATE_SPHERE_LIST_FOR_NOTE,0))</f>
        <v>0</v>
      </c>
      <c r="J73" s="1012">
        <f>INDEX(TEMPLATE_DATA_POINT_FHD,B73,MATCH(TEMPLATE_SPHERE,TEMPLATE_SPHERE_LIST_FOR_NOTE,0))</f>
        <v>0</v>
      </c>
      <c r="K73" s="1012">
        <f>INDEX(TEMPLATE_NOTE_POINT_FHD,B73,MATCH(TEMPLATE_SPHERE,TEMPLATE_SPHERE_LIST_FOR_NOTE,0))</f>
        <v>0</v>
      </c>
      <c r="L73" s="850" t="str">
        <f>IF(I73=0,"",I73)</f>
        <v/>
      </c>
      <c r="M73" s="850" t="str">
        <f>IF(J73=0,"",J73)</f>
        <v/>
      </c>
      <c r="N73" s="850" t="str">
        <f>IF(K73=0,"",K73)</f>
        <v/>
      </c>
      <c r="O73" s="964"/>
      <c r="P73" s="964"/>
      <c r="Q73" s="964" t="s">
        <v>148</v>
      </c>
      <c r="R73" s="964"/>
      <c r="S73" s="964"/>
      <c r="T73" s="849"/>
      <c r="U73" s="849"/>
      <c r="V73" s="849" t="s">
        <v>2087</v>
      </c>
      <c r="W73" s="849"/>
      <c r="X73" s="849"/>
      <c r="Y73" s="1007"/>
      <c r="Z73" s="852"/>
      <c r="AA73" s="855"/>
      <c r="AB73" s="852"/>
      <c r="AC73" s="852"/>
      <c r="AD73" s="852"/>
    </row>
    <row customHeight="1" ht="18">
      <c r="A74" s="851"/>
      <c r="B74" s="905">
        <v>57</v>
      </c>
      <c r="C74" s="849"/>
      <c r="D74" s="974"/>
      <c r="E74" s="849" t="s">
        <v>2082</v>
      </c>
      <c r="F74" s="849"/>
      <c r="G74" s="849"/>
      <c r="H74" s="897"/>
      <c r="I74" s="1012">
        <f>INDEX(TEMPLATE_NUMBER_POINT_FHD,B74,MATCH(TEMPLATE_SPHERE,TEMPLATE_SPHERE_LIST_FOR_NOTE,0))</f>
        <v>0</v>
      </c>
      <c r="J74" s="1012">
        <f>INDEX(TEMPLATE_DATA_POINT_FHD,B74,MATCH(TEMPLATE_SPHERE,TEMPLATE_SPHERE_LIST_FOR_NOTE,0))</f>
        <v>0</v>
      </c>
      <c r="K74" s="1012">
        <f>INDEX(TEMPLATE_NOTE_POINT_FHD,B74,MATCH(TEMPLATE_SPHERE,TEMPLATE_SPHERE_LIST_FOR_NOTE,0))</f>
        <v>0</v>
      </c>
      <c r="L74" s="850" t="str">
        <f>IF(I74=0,"",I74)</f>
        <v/>
      </c>
      <c r="M74" s="850" t="str">
        <f>IF(J74=0,"",J74)</f>
        <v/>
      </c>
      <c r="N74" s="850" t="str">
        <f>IF(K74=0,"",K74)</f>
        <v/>
      </c>
      <c r="O74" s="964"/>
      <c r="P74" s="964"/>
      <c r="Q74" s="964" t="s">
        <v>149</v>
      </c>
      <c r="R74" s="964"/>
      <c r="S74" s="964"/>
      <c r="T74" s="849"/>
      <c r="U74" s="849"/>
      <c r="V74" s="849" t="s">
        <v>2088</v>
      </c>
      <c r="W74" s="849"/>
      <c r="X74" s="849"/>
      <c r="Y74" s="1007"/>
      <c r="Z74" s="852"/>
      <c r="AA74" s="855"/>
      <c r="AB74" s="852"/>
      <c r="AC74" s="852"/>
      <c r="AD74" s="852"/>
    </row>
    <row customHeight="1" ht="18">
      <c r="A75" s="851"/>
      <c r="B75" s="905">
        <v>58</v>
      </c>
      <c r="C75" s="849"/>
      <c r="D75" s="974"/>
      <c r="E75" s="849"/>
      <c r="F75" s="849" t="s">
        <v>2067</v>
      </c>
      <c r="G75" s="849"/>
      <c r="H75" s="897"/>
      <c r="I75" s="1012">
        <f>INDEX(TEMPLATE_NUMBER_POINT_FHD,B75,MATCH(TEMPLATE_SPHERE,TEMPLATE_SPHERE_LIST_FOR_NOTE,0))</f>
        <v>0</v>
      </c>
      <c r="J75" s="1012">
        <f>INDEX(TEMPLATE_DATA_POINT_FHD,B75,MATCH(TEMPLATE_SPHERE,TEMPLATE_SPHERE_LIST_FOR_NOTE,0))</f>
        <v>0</v>
      </c>
      <c r="K75" s="1012">
        <f>INDEX(TEMPLATE_NOTE_POINT_FHD,B75,MATCH(TEMPLATE_SPHERE,TEMPLATE_SPHERE_LIST_FOR_NOTE,0))</f>
        <v>0</v>
      </c>
      <c r="L75" s="850" t="str">
        <f>IF(I75=0,"",I75)</f>
        <v/>
      </c>
      <c r="M75" s="850" t="str">
        <f>IF(J75=0,"",J75)</f>
        <v/>
      </c>
      <c r="N75" s="850" t="str">
        <f>IF(K75=0,"",K75)</f>
        <v/>
      </c>
      <c r="O75" s="964"/>
      <c r="P75" s="964"/>
      <c r="Q75" s="964"/>
      <c r="R75" s="964" t="s">
        <v>92</v>
      </c>
      <c r="S75" s="964"/>
      <c r="T75" s="849"/>
      <c r="U75" s="849"/>
      <c r="V75" s="849"/>
      <c r="W75" s="849" t="s">
        <v>2089</v>
      </c>
      <c r="X75" s="849"/>
      <c r="Y75" s="1007"/>
      <c r="Z75" s="852"/>
      <c r="AA75" s="855"/>
      <c r="AB75" s="852"/>
      <c r="AC75" s="852"/>
      <c r="AD75" s="852"/>
    </row>
    <row customHeight="1" ht="36">
      <c r="A76" s="851"/>
      <c r="B76" s="905">
        <v>59</v>
      </c>
      <c r="C76" s="849"/>
      <c r="D76" s="974"/>
      <c r="E76" s="849"/>
      <c r="F76" s="849" t="s">
        <v>2069</v>
      </c>
      <c r="G76" s="849"/>
      <c r="H76" s="897"/>
      <c r="I76" s="1012">
        <f>INDEX(TEMPLATE_NUMBER_POINT_FHD,B76,MATCH(TEMPLATE_SPHERE,TEMPLATE_SPHERE_LIST_FOR_NOTE,0))</f>
        <v>0</v>
      </c>
      <c r="J76" s="1012">
        <f>INDEX(TEMPLATE_DATA_POINT_FHD,B76,MATCH(TEMPLATE_SPHERE,TEMPLATE_SPHERE_LIST_FOR_NOTE,0))</f>
        <v>0</v>
      </c>
      <c r="K76" s="1012">
        <f>INDEX(TEMPLATE_NOTE_POINT_FHD,B76,MATCH(TEMPLATE_SPHERE,TEMPLATE_SPHERE_LIST_FOR_NOTE,0))</f>
        <v>0</v>
      </c>
      <c r="L76" s="850" t="str">
        <f>IF(I76=0,"",I76)</f>
        <v/>
      </c>
      <c r="M76" s="850" t="str">
        <f>IF(J76=0,"",J76)</f>
        <v/>
      </c>
      <c r="N76" s="850" t="str">
        <f>IF(K76=0,"",K76)</f>
        <v/>
      </c>
      <c r="O76" s="964"/>
      <c r="P76" s="964"/>
      <c r="Q76" s="964"/>
      <c r="R76" s="964" t="s">
        <v>111</v>
      </c>
      <c r="S76" s="964"/>
      <c r="T76" s="849"/>
      <c r="U76" s="849"/>
      <c r="V76" s="849"/>
      <c r="W76" s="849" t="s">
        <v>2090</v>
      </c>
      <c r="X76" s="849"/>
      <c r="Y76" s="1007"/>
      <c r="Z76" s="852"/>
      <c r="AA76" s="855"/>
      <c r="AB76" s="852"/>
      <c r="AC76" s="852"/>
      <c r="AD76" s="852"/>
    </row>
    <row customHeight="1" ht="18">
      <c r="A77" s="851"/>
      <c r="B77" s="905">
        <v>60</v>
      </c>
      <c r="C77" s="849"/>
      <c r="D77" s="974"/>
      <c r="E77" s="849"/>
      <c r="F77" s="849" t="s">
        <v>2071</v>
      </c>
      <c r="G77" s="849"/>
      <c r="H77" s="897"/>
      <c r="I77" s="1012">
        <f>INDEX(TEMPLATE_NUMBER_POINT_FHD,B77,MATCH(TEMPLATE_SPHERE,TEMPLATE_SPHERE_LIST_FOR_NOTE,0))</f>
        <v>0</v>
      </c>
      <c r="J77" s="1012">
        <f>INDEX(TEMPLATE_DATA_POINT_FHD,B77,MATCH(TEMPLATE_SPHERE,TEMPLATE_SPHERE_LIST_FOR_NOTE,0))</f>
        <v>0</v>
      </c>
      <c r="K77" s="1012">
        <f>INDEX(TEMPLATE_NOTE_POINT_FHD,B77,MATCH(TEMPLATE_SPHERE,TEMPLATE_SPHERE_LIST_FOR_NOTE,0))</f>
        <v>0</v>
      </c>
      <c r="L77" s="850" t="str">
        <f>IF(I77=0,"",I77)</f>
        <v/>
      </c>
      <c r="M77" s="850" t="str">
        <f>IF(J77=0,"",J77)</f>
        <v/>
      </c>
      <c r="N77" s="850" t="str">
        <f>IF(K77=0,"",K77)</f>
        <v/>
      </c>
      <c r="O77" s="964"/>
      <c r="P77" s="964"/>
      <c r="Q77" s="964"/>
      <c r="R77" s="964" t="s">
        <v>147</v>
      </c>
      <c r="S77" s="964"/>
      <c r="T77" s="849"/>
      <c r="U77" s="849"/>
      <c r="V77" s="849"/>
      <c r="W77" s="849" t="s">
        <v>2091</v>
      </c>
      <c r="X77" s="849"/>
      <c r="Y77" s="1007"/>
      <c r="Z77" s="852"/>
      <c r="AA77" s="855"/>
      <c r="AB77" s="852"/>
      <c r="AC77" s="852"/>
      <c r="AD77" s="852"/>
    </row>
    <row customHeight="1" ht="72">
      <c r="A78" s="851"/>
      <c r="B78" s="905">
        <v>61</v>
      </c>
      <c r="C78" s="849" t="s">
        <v>2067</v>
      </c>
      <c r="D78" s="974"/>
      <c r="E78" s="849"/>
      <c r="F78" s="849"/>
      <c r="G78" s="849"/>
      <c r="H78" s="897"/>
      <c r="I78" s="1012" t="str">
        <f>INDEX(TEMPLATE_NUMBER_POINT_FHD,B78,MATCH(TEMPLATE_SPHERE,TEMPLATE_SPHERE_LIST_FOR_NOTE,0))</f>
        <v>7</v>
      </c>
      <c r="J78" s="1012"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12"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50" t="str">
        <f>IF(I78=0,"",I78)</f>
        <v>7</v>
      </c>
      <c r="M78" s="850"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50"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4" t="s">
        <v>92</v>
      </c>
      <c r="P78" s="964"/>
      <c r="Q78" s="964"/>
      <c r="R78" s="964"/>
      <c r="S78" s="964"/>
      <c r="T78" s="849" t="s">
        <v>2092</v>
      </c>
      <c r="U78" s="849"/>
      <c r="V78" s="849"/>
      <c r="W78" s="849"/>
      <c r="X78" s="849"/>
      <c r="Y78" s="1007"/>
      <c r="Z78" s="852" t="s">
        <v>2093</v>
      </c>
      <c r="AA78" s="855"/>
      <c r="AB78" s="852"/>
      <c r="AC78" s="852"/>
      <c r="AD78" s="852"/>
    </row>
    <row customHeight="1" ht="36">
      <c r="A79" s="851"/>
      <c r="B79" s="905">
        <v>62</v>
      </c>
      <c r="C79" s="849" t="s">
        <v>2069</v>
      </c>
      <c r="D79" s="974"/>
      <c r="E79" s="849"/>
      <c r="F79" s="849"/>
      <c r="G79" s="849"/>
      <c r="H79" s="897"/>
      <c r="I79" s="1012" t="str">
        <f>INDEX(TEMPLATE_NUMBER_POINT_FHD,B79,MATCH(TEMPLATE_SPHERE,TEMPLATE_SPHERE_LIST_FOR_NOTE,0))</f>
        <v>8</v>
      </c>
      <c r="J79" s="1012"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12"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50" t="str">
        <f>IF(I79=0,"",I79)</f>
        <v>8</v>
      </c>
      <c r="M79" s="850" t="str">
        <f>IF(J79=0,"",J79)</f>
        <v>Тепловая нагрузка по договорам, заключенным в рамках осуществления регулируемых видов деятельности</v>
      </c>
      <c r="N79" s="850"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4" t="s">
        <v>111</v>
      </c>
      <c r="P79" s="964"/>
      <c r="Q79" s="964"/>
      <c r="R79" s="964"/>
      <c r="S79" s="964"/>
      <c r="T79" s="849" t="s">
        <v>2094</v>
      </c>
      <c r="U79" s="849"/>
      <c r="V79" s="849"/>
      <c r="W79" s="849"/>
      <c r="X79" s="849"/>
      <c r="Y79" s="1007"/>
      <c r="Z79" s="852" t="s">
        <v>2095</v>
      </c>
      <c r="AA79" s="855"/>
      <c r="AB79" s="852"/>
      <c r="AC79" s="852"/>
      <c r="AD79" s="852"/>
    </row>
    <row customHeight="1" ht="45">
      <c r="A80" s="851"/>
      <c r="B80" s="905">
        <v>63</v>
      </c>
      <c r="C80" s="849" t="s">
        <v>2071</v>
      </c>
      <c r="D80" s="974"/>
      <c r="E80" s="849"/>
      <c r="F80" s="849"/>
      <c r="G80" s="849"/>
      <c r="H80" s="897"/>
      <c r="I80" s="1012" t="str">
        <f>INDEX(TEMPLATE_NUMBER_POINT_FHD,B80,MATCH(TEMPLATE_SPHERE,TEMPLATE_SPHERE_LIST_FOR_NOTE,0))</f>
        <v>9</v>
      </c>
      <c r="J80" s="1012"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12"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50" t="str">
        <f>IF(I80=0,"",I80)</f>
        <v>9</v>
      </c>
      <c r="M80" s="850" t="str">
        <f>IF(J80=0,"",J80)</f>
        <v>Объем вырабатываемой регулируемой организацией тепловой энергии в рамках осуществления регулируемых видов деятельности</v>
      </c>
      <c r="N80" s="850"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4" t="s">
        <v>147</v>
      </c>
      <c r="P80" s="964"/>
      <c r="Q80" s="964"/>
      <c r="R80" s="964"/>
      <c r="S80" s="964"/>
      <c r="T80" s="849" t="s">
        <v>2096</v>
      </c>
      <c r="U80" s="849"/>
      <c r="V80" s="849"/>
      <c r="W80" s="849"/>
      <c r="X80" s="849"/>
      <c r="Y80" s="1007"/>
      <c r="Z80" s="852" t="s">
        <v>2097</v>
      </c>
      <c r="AA80" s="855"/>
      <c r="AB80" s="852"/>
      <c r="AC80" s="852"/>
      <c r="AD80" s="852"/>
    </row>
    <row customHeight="1" ht="36">
      <c r="A81" s="851"/>
      <c r="B81" s="905">
        <v>64</v>
      </c>
      <c r="C81" s="849" t="s">
        <v>2073</v>
      </c>
      <c r="D81" s="974"/>
      <c r="E81" s="849"/>
      <c r="F81" s="849"/>
      <c r="G81" s="849"/>
      <c r="H81" s="897"/>
      <c r="I81" s="1012" t="str">
        <f>INDEX(TEMPLATE_NUMBER_POINT_FHD,B81,MATCH(TEMPLATE_SPHERE,TEMPLATE_SPHERE_LIST_FOR_NOTE,0))</f>
        <v>9.1</v>
      </c>
      <c r="J81" s="1012"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12" t="str">
        <f>INDEX(TEMPLATE_NOTE_POINT_FHD,B81,MATCH(TEMPLATE_SPHERE,TEMPLATE_SPHERE_LIST_FOR_NOTE,0))</f>
        <v>Информация указывается только едиными теплоснабжающими организациями.</v>
      </c>
      <c r="L81" s="850" t="str">
        <f>IF(I81=0,"",I81)</f>
        <v>9.1</v>
      </c>
      <c r="M81" s="850" t="str">
        <f>IF(J81=0,"",J81)</f>
        <v>Объем приобретаемой регулируемой организацией тепловой энергии в рамках осуществления регулируемых видов деятельности</v>
      </c>
      <c r="N81" s="850" t="str">
        <f>IF(K81=0,"",K81)</f>
        <v>Информация указывается только едиными теплоснабжающими организациями.</v>
      </c>
      <c r="O81" s="964" t="s">
        <v>1976</v>
      </c>
      <c r="P81" s="964"/>
      <c r="Q81" s="964"/>
      <c r="R81" s="964"/>
      <c r="S81" s="964"/>
      <c r="T81" s="849" t="s">
        <v>2098</v>
      </c>
      <c r="U81" s="849"/>
      <c r="V81" s="849"/>
      <c r="W81" s="849"/>
      <c r="X81" s="849"/>
      <c r="Y81" s="1007"/>
      <c r="Z81" s="852" t="s">
        <v>2099</v>
      </c>
      <c r="AA81" s="855"/>
      <c r="AB81" s="852"/>
      <c r="AC81" s="852"/>
      <c r="AD81" s="852"/>
    </row>
    <row customHeight="1" ht="90">
      <c r="A82" s="851"/>
      <c r="B82" s="905">
        <v>65</v>
      </c>
      <c r="C82" s="849" t="s">
        <v>2082</v>
      </c>
      <c r="D82" s="974"/>
      <c r="E82" s="849"/>
      <c r="F82" s="849"/>
      <c r="G82" s="849"/>
      <c r="H82" s="897"/>
      <c r="I82" s="1012" t="str">
        <f>INDEX(TEMPLATE_NUMBER_POINT_FHD,B82,MATCH(TEMPLATE_SPHERE,TEMPLATE_SPHERE_LIST_FOR_NOTE,0))</f>
        <v>10</v>
      </c>
      <c r="J82" s="1012"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12"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50" t="str">
        <f>IF(I82=0,"",I82)</f>
        <v>10</v>
      </c>
      <c r="M82" s="850"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50"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4" t="s">
        <v>148</v>
      </c>
      <c r="P82" s="964"/>
      <c r="Q82" s="964"/>
      <c r="R82" s="964"/>
      <c r="S82" s="964"/>
      <c r="T82" s="849" t="s">
        <v>2100</v>
      </c>
      <c r="U82" s="849"/>
      <c r="V82" s="849"/>
      <c r="W82" s="849"/>
      <c r="X82" s="849"/>
      <c r="Y82" s="1007"/>
      <c r="Z82" s="852" t="s">
        <v>2101</v>
      </c>
      <c r="AA82" s="855"/>
      <c r="AB82" s="852"/>
      <c r="AC82" s="852"/>
      <c r="AD82" s="852"/>
    </row>
    <row customHeight="1" ht="9">
      <c r="A83" s="851"/>
      <c r="B83" s="905">
        <v>66</v>
      </c>
      <c r="C83" s="849"/>
      <c r="D83" s="974"/>
      <c r="E83" s="849"/>
      <c r="F83" s="849"/>
      <c r="G83" s="849"/>
      <c r="H83" s="897"/>
      <c r="I83" s="1012" t="str">
        <f>INDEX(TEMPLATE_NUMBER_POINT_FHD,B83,MATCH(TEMPLATE_SPHERE,TEMPLATE_SPHERE_LIST_FOR_NOTE,0))</f>
        <v>10.1</v>
      </c>
      <c r="J83" s="1012" t="str">
        <f>INDEX(TEMPLATE_DATA_POINT_FHD,B83,MATCH(TEMPLATE_SPHERE,TEMPLATE_SPHERE_LIST_FOR_NOTE,0))</f>
        <v>По приборам учёта </v>
      </c>
      <c r="K83" s="1012">
        <f>INDEX(TEMPLATE_NOTE_POINT_FHD,B83,MATCH(TEMPLATE_SPHERE,TEMPLATE_SPHERE_LIST_FOR_NOTE,0))</f>
        <v>0</v>
      </c>
      <c r="L83" s="850" t="str">
        <f>IF(I83=0,"",I83)</f>
        <v>10.1</v>
      </c>
      <c r="M83" s="850" t="str">
        <f>IF(J83=0,"",J83)</f>
        <v>По приборам учёта </v>
      </c>
      <c r="N83" s="850" t="str">
        <f>IF(K83=0,"",K83)</f>
        <v/>
      </c>
      <c r="O83" s="964" t="s">
        <v>1985</v>
      </c>
      <c r="P83" s="964"/>
      <c r="Q83" s="964"/>
      <c r="R83" s="964"/>
      <c r="S83" s="964"/>
      <c r="T83" s="849" t="s">
        <v>2102</v>
      </c>
      <c r="U83" s="849"/>
      <c r="V83" s="849"/>
      <c r="W83" s="849"/>
      <c r="X83" s="849"/>
      <c r="Y83" s="1007"/>
      <c r="Z83" s="852"/>
      <c r="AA83" s="855"/>
      <c r="AB83" s="852"/>
      <c r="AC83" s="852"/>
      <c r="AD83" s="852"/>
    </row>
    <row customHeight="1" ht="54">
      <c r="A84" s="851"/>
      <c r="B84" s="905">
        <v>67</v>
      </c>
      <c r="C84" s="849"/>
      <c r="D84" s="974"/>
      <c r="E84" s="849"/>
      <c r="F84" s="849"/>
      <c r="G84" s="849"/>
      <c r="H84" s="897"/>
      <c r="I84" s="1012" t="str">
        <f>INDEX(TEMPLATE_NUMBER_POINT_FHD,B84,MATCH(TEMPLATE_SPHERE,TEMPLATE_SPHERE_LIST_FOR_NOTE,0))</f>
        <v>10.1.1</v>
      </c>
      <c r="J84" s="1012"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12">
        <f>INDEX(TEMPLATE_NOTE_POINT_FHD,B84,MATCH(TEMPLATE_SPHERE,TEMPLATE_SPHERE_LIST_FOR_NOTE,0))</f>
        <v>0</v>
      </c>
      <c r="L84" s="850" t="str">
        <f>IF(I84=0,"",I84)</f>
        <v>10.1.1</v>
      </c>
      <c r="M84" s="850"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50" t="str">
        <f>IF(K84=0,"",K84)</f>
        <v/>
      </c>
      <c r="O84" s="964" t="s">
        <v>2103</v>
      </c>
      <c r="P84" s="964"/>
      <c r="Q84" s="964"/>
      <c r="R84" s="964"/>
      <c r="S84" s="964"/>
      <c r="T84" s="849" t="s">
        <v>2104</v>
      </c>
      <c r="U84" s="849"/>
      <c r="V84" s="849"/>
      <c r="W84" s="849"/>
      <c r="X84" s="849"/>
      <c r="Y84" s="1007"/>
      <c r="Z84" s="852"/>
      <c r="AA84" s="855"/>
      <c r="AB84" s="852"/>
      <c r="AC84" s="852"/>
      <c r="AD84" s="852"/>
    </row>
    <row customHeight="1" ht="9">
      <c r="A85" s="851"/>
      <c r="B85" s="905">
        <v>68</v>
      </c>
      <c r="C85" s="849"/>
      <c r="D85" s="974"/>
      <c r="E85" s="849"/>
      <c r="F85" s="849"/>
      <c r="G85" s="849"/>
      <c r="H85" s="897"/>
      <c r="I85" s="1012" t="str">
        <f>INDEX(TEMPLATE_NUMBER_POINT_FHD,B85,MATCH(TEMPLATE_SPHERE,TEMPLATE_SPHERE_LIST_FOR_NOTE,0))</f>
        <v>10.2</v>
      </c>
      <c r="J85" s="1012" t="str">
        <f>INDEX(TEMPLATE_DATA_POINT_FHD,B85,MATCH(TEMPLATE_SPHERE,TEMPLATE_SPHERE_LIST_FOR_NOTE,0))</f>
        <v>Расчётным путём</v>
      </c>
      <c r="K85" s="1012">
        <f>INDEX(TEMPLATE_NOTE_POINT_FHD,B85,MATCH(TEMPLATE_SPHERE,TEMPLATE_SPHERE_LIST_FOR_NOTE,0))</f>
        <v>0</v>
      </c>
      <c r="L85" s="850" t="str">
        <f>IF(I85=0,"",I85)</f>
        <v>10.2</v>
      </c>
      <c r="M85" s="850" t="str">
        <f>IF(J85=0,"",J85)</f>
        <v>Расчётным путём</v>
      </c>
      <c r="N85" s="850" t="str">
        <f>IF(K85=0,"",K85)</f>
        <v/>
      </c>
      <c r="O85" s="964" t="s">
        <v>1989</v>
      </c>
      <c r="P85" s="964"/>
      <c r="Q85" s="964"/>
      <c r="R85" s="964"/>
      <c r="S85" s="964"/>
      <c r="T85" s="849" t="s">
        <v>2105</v>
      </c>
      <c r="U85" s="849"/>
      <c r="V85" s="849"/>
      <c r="W85" s="849"/>
      <c r="X85" s="849"/>
      <c r="Y85" s="1007"/>
      <c r="Z85" s="852"/>
      <c r="AA85" s="855"/>
      <c r="AB85" s="852"/>
      <c r="AC85" s="852"/>
      <c r="AD85" s="852"/>
    </row>
    <row customHeight="1" ht="27">
      <c r="A86" s="851"/>
      <c r="B86" s="905">
        <v>69</v>
      </c>
      <c r="C86" s="849"/>
      <c r="D86" s="974"/>
      <c r="E86" s="849"/>
      <c r="F86" s="849"/>
      <c r="G86" s="849"/>
      <c r="H86" s="897"/>
      <c r="I86" s="1012" t="str">
        <f>INDEX(TEMPLATE_NUMBER_POINT_FHD,B86,MATCH(TEMPLATE_SPHERE,TEMPLATE_SPHERE_LIST_FOR_NOTE,0))</f>
        <v>10.3</v>
      </c>
      <c r="J86" s="1012" t="str">
        <f>INDEX(TEMPLATE_DATA_POINT_FHD,B86,MATCH(TEMPLATE_SPHERE,TEMPLATE_SPHERE_LIST_FOR_NOTE,0))</f>
        <v>По нормативам потребления коммунальных услуг и нормативам потребления коммунальных ресурсов</v>
      </c>
      <c r="K86" s="1012">
        <f>INDEX(TEMPLATE_NOTE_POINT_FHD,B86,MATCH(TEMPLATE_SPHERE,TEMPLATE_SPHERE_LIST_FOR_NOTE,0))</f>
        <v>0</v>
      </c>
      <c r="L86" s="850" t="str">
        <f>IF(I86=0,"",I86)</f>
        <v>10.3</v>
      </c>
      <c r="M86" s="850" t="str">
        <f>IF(J86=0,"",J86)</f>
        <v>По нормативам потребления коммунальных услуг и нормативам потребления коммунальных ресурсов</v>
      </c>
      <c r="N86" s="850" t="str">
        <f>IF(K86=0,"",K86)</f>
        <v/>
      </c>
      <c r="O86" s="964" t="s">
        <v>2106</v>
      </c>
      <c r="P86" s="964"/>
      <c r="Q86" s="964"/>
      <c r="R86" s="964"/>
      <c r="S86" s="964"/>
      <c r="T86" s="849" t="s">
        <v>2107</v>
      </c>
      <c r="U86" s="849"/>
      <c r="V86" s="849"/>
      <c r="W86" s="849"/>
      <c r="X86" s="849"/>
      <c r="Y86" s="1007"/>
      <c r="Z86" s="852"/>
      <c r="AA86" s="855"/>
      <c r="AB86" s="852"/>
      <c r="AC86" s="852"/>
      <c r="AD86" s="852"/>
    </row>
    <row customHeight="1" ht="36">
      <c r="A87" s="851"/>
      <c r="B87" s="905">
        <v>70</v>
      </c>
      <c r="C87" s="849" t="s">
        <v>2108</v>
      </c>
      <c r="D87" s="974"/>
      <c r="E87" s="849"/>
      <c r="F87" s="849"/>
      <c r="G87" s="849"/>
      <c r="H87" s="897"/>
      <c r="I87" s="1012" t="str">
        <f>INDEX(TEMPLATE_NUMBER_POINT_FHD,B87,MATCH(TEMPLATE_SPHERE,TEMPLATE_SPHERE_LIST_FOR_NOTE,0))</f>
        <v>11</v>
      </c>
      <c r="J87" s="1012"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12">
        <f>INDEX(TEMPLATE_NOTE_POINT_FHD,B87,MATCH(TEMPLATE_SPHERE,TEMPLATE_SPHERE_LIST_FOR_NOTE,0))</f>
        <v>0</v>
      </c>
      <c r="L87" s="850" t="str">
        <f>IF(I87=0,"",I87)</f>
        <v>11</v>
      </c>
      <c r="M87" s="850" t="str">
        <f>IF(J87=0,"",J87)</f>
        <v>Нормативы технологических потерь при передаче тепловой энергии, теплоносителя по тепловым сетям, утвержденные уполномоченным органом</v>
      </c>
      <c r="N87" s="850" t="str">
        <f>IF(K87=0,"",K87)</f>
        <v/>
      </c>
      <c r="O87" s="964" t="s">
        <v>149</v>
      </c>
      <c r="P87" s="964"/>
      <c r="Q87" s="964"/>
      <c r="R87" s="964"/>
      <c r="S87" s="964"/>
      <c r="T87" s="849" t="s">
        <v>2109</v>
      </c>
      <c r="U87" s="849"/>
      <c r="V87" s="849"/>
      <c r="W87" s="849"/>
      <c r="X87" s="849"/>
      <c r="Y87" s="1007"/>
      <c r="Z87" s="852"/>
      <c r="AA87" s="855"/>
      <c r="AB87" s="852"/>
      <c r="AC87" s="852"/>
      <c r="AD87" s="852"/>
    </row>
    <row customHeight="1" ht="18">
      <c r="A88" s="851"/>
      <c r="B88" s="905">
        <v>71</v>
      </c>
      <c r="C88" s="849" t="s">
        <v>2110</v>
      </c>
      <c r="D88" s="974"/>
      <c r="E88" s="849"/>
      <c r="F88" s="849"/>
      <c r="G88" s="849"/>
      <c r="H88" s="897"/>
      <c r="I88" s="1012" t="str">
        <f>INDEX(TEMPLATE_NUMBER_POINT_FHD,B88,MATCH(TEMPLATE_SPHERE,TEMPLATE_SPHERE_LIST_FOR_NOTE,0))</f>
        <v>12</v>
      </c>
      <c r="J88" s="1012" t="str">
        <f>INDEX(TEMPLATE_DATA_POINT_FHD,B88,MATCH(TEMPLATE_SPHERE,TEMPLATE_SPHERE_LIST_FOR_NOTE,0))</f>
        <v>Фактический объем потерь при передаче тепловой энергии</v>
      </c>
      <c r="K88" s="1012">
        <f>INDEX(TEMPLATE_NOTE_POINT_FHD,B88,MATCH(TEMPLATE_SPHERE,TEMPLATE_SPHERE_LIST_FOR_NOTE,0))</f>
        <v>0</v>
      </c>
      <c r="L88" s="850" t="str">
        <f>IF(I88=0,"",I88)</f>
        <v>12</v>
      </c>
      <c r="M88" s="850" t="str">
        <f>IF(J88=0,"",J88)</f>
        <v>Фактический объем потерь при передаче тепловой энергии</v>
      </c>
      <c r="N88" s="850" t="str">
        <f>IF(K88=0,"",K88)</f>
        <v/>
      </c>
      <c r="O88" s="964" t="s">
        <v>150</v>
      </c>
      <c r="P88" s="964"/>
      <c r="Q88" s="964"/>
      <c r="R88" s="964"/>
      <c r="S88" s="964"/>
      <c r="T88" s="849" t="s">
        <v>2111</v>
      </c>
      <c r="U88" s="849"/>
      <c r="V88" s="849"/>
      <c r="W88" s="849"/>
      <c r="X88" s="849"/>
      <c r="Y88" s="1007"/>
      <c r="Z88" s="852"/>
      <c r="AA88" s="855"/>
      <c r="AB88" s="852"/>
      <c r="AC88" s="852"/>
      <c r="AD88" s="852"/>
    </row>
    <row customHeight="1" ht="18">
      <c r="A89" s="851"/>
      <c r="B89" s="905">
        <v>72</v>
      </c>
      <c r="C89" s="849" t="s">
        <v>2112</v>
      </c>
      <c r="D89" s="974" t="s">
        <v>2108</v>
      </c>
      <c r="E89" s="849" t="s">
        <v>2108</v>
      </c>
      <c r="F89" s="849" t="s">
        <v>2073</v>
      </c>
      <c r="G89" s="849"/>
      <c r="H89" s="897"/>
      <c r="I89" s="1012" t="str">
        <f>INDEX(TEMPLATE_NUMBER_POINT_FHD,B89,MATCH(TEMPLATE_SPHERE,TEMPLATE_SPHERE_LIST_FOR_NOTE,0))</f>
        <v>13</v>
      </c>
      <c r="J89" s="1012" t="str">
        <f>INDEX(TEMPLATE_DATA_POINT_FHD,B89,MATCH(TEMPLATE_SPHERE,TEMPLATE_SPHERE_LIST_FOR_NOTE,0))</f>
        <v>Среднесписочная численность основного производственного персонала</v>
      </c>
      <c r="K89" s="1012">
        <f>INDEX(TEMPLATE_NOTE_POINT_FHD,B89,MATCH(TEMPLATE_SPHERE,TEMPLATE_SPHERE_LIST_FOR_NOTE,0))</f>
        <v>0</v>
      </c>
      <c r="L89" s="850" t="str">
        <f>IF(I89=0,"",I89)</f>
        <v>13</v>
      </c>
      <c r="M89" s="850" t="str">
        <f>IF(J89=0,"",J89)</f>
        <v>Среднесписочная численность основного производственного персонала</v>
      </c>
      <c r="N89" s="850" t="str">
        <f>IF(K89=0,"",K89)</f>
        <v/>
      </c>
      <c r="O89" s="964" t="s">
        <v>151</v>
      </c>
      <c r="P89" s="964" t="s">
        <v>150</v>
      </c>
      <c r="Q89" s="964" t="s">
        <v>150</v>
      </c>
      <c r="R89" s="964" t="s">
        <v>148</v>
      </c>
      <c r="S89" s="964"/>
      <c r="T89" s="849" t="s">
        <v>2113</v>
      </c>
      <c r="U89" s="849" t="s">
        <v>2113</v>
      </c>
      <c r="V89" s="849" t="s">
        <v>2113</v>
      </c>
      <c r="W89" s="849" t="s">
        <v>2113</v>
      </c>
      <c r="X89" s="849"/>
      <c r="Y89" s="1007"/>
      <c r="Z89" s="852"/>
      <c r="AA89" s="855"/>
      <c r="AB89" s="852"/>
      <c r="AC89" s="852"/>
      <c r="AD89" s="852"/>
    </row>
    <row customHeight="1" ht="27">
      <c r="A90" s="851"/>
      <c r="B90" s="905">
        <v>73</v>
      </c>
      <c r="C90" s="849" t="s">
        <v>2114</v>
      </c>
      <c r="D90" s="974"/>
      <c r="E90" s="849"/>
      <c r="F90" s="849"/>
      <c r="G90" s="849"/>
      <c r="H90" s="897"/>
      <c r="I90" s="1012" t="str">
        <f>INDEX(TEMPLATE_NUMBER_POINT_FHD,B90,MATCH(TEMPLATE_SPHERE,TEMPLATE_SPHERE_LIST_FOR_NOTE,0))</f>
        <v>14</v>
      </c>
      <c r="J90" s="1012" t="str">
        <f>INDEX(TEMPLATE_DATA_POINT_FHD,B90,MATCH(TEMPLATE_SPHERE,TEMPLATE_SPHERE_LIST_FOR_NOTE,0))</f>
        <v>Среднесписочная численность административно-управленческого персонала</v>
      </c>
      <c r="K90" s="1012">
        <f>INDEX(TEMPLATE_NOTE_POINT_FHD,B90,MATCH(TEMPLATE_SPHERE,TEMPLATE_SPHERE_LIST_FOR_NOTE,0))</f>
        <v>0</v>
      </c>
      <c r="L90" s="850" t="str">
        <f>IF(I90=0,"",I90)</f>
        <v>14</v>
      </c>
      <c r="M90" s="850" t="str">
        <f>IF(J90=0,"",J90)</f>
        <v>Среднесписочная численность административно-управленческого персонала</v>
      </c>
      <c r="N90" s="850" t="str">
        <f>IF(K90=0,"",K90)</f>
        <v/>
      </c>
      <c r="O90" s="964" t="s">
        <v>152</v>
      </c>
      <c r="P90" s="964"/>
      <c r="Q90" s="964"/>
      <c r="R90" s="964"/>
      <c r="S90" s="964"/>
      <c r="T90" s="849" t="s">
        <v>2115</v>
      </c>
      <c r="U90" s="849"/>
      <c r="V90" s="849"/>
      <c r="W90" s="849"/>
      <c r="X90" s="849"/>
      <c r="Y90" s="1007"/>
      <c r="Z90" s="852"/>
      <c r="AA90" s="855"/>
      <c r="AB90" s="852"/>
      <c r="AC90" s="852"/>
      <c r="AD90" s="852"/>
    </row>
    <row customHeight="1" ht="18">
      <c r="A91" s="851"/>
      <c r="B91" s="905">
        <v>74</v>
      </c>
      <c r="C91" s="849"/>
      <c r="D91" s="974" t="s">
        <v>2110</v>
      </c>
      <c r="E91" s="849" t="s">
        <v>2110</v>
      </c>
      <c r="F91" s="849"/>
      <c r="G91" s="849"/>
      <c r="H91" s="897"/>
      <c r="I91" s="1012">
        <f>INDEX(TEMPLATE_NUMBER_POINT_FHD,B91,MATCH(TEMPLATE_SPHERE,TEMPLATE_SPHERE_LIST_FOR_NOTE,0))</f>
        <v>0</v>
      </c>
      <c r="J91" s="1012">
        <f>INDEX(TEMPLATE_DATA_POINT_FHD,B91,MATCH(TEMPLATE_SPHERE,TEMPLATE_SPHERE_LIST_FOR_NOTE,0))</f>
        <v>0</v>
      </c>
      <c r="K91" s="1012">
        <f>INDEX(TEMPLATE_NOTE_POINT_FHD,B91,MATCH(TEMPLATE_SPHERE,TEMPLATE_SPHERE_LIST_FOR_NOTE,0))</f>
        <v>0</v>
      </c>
      <c r="L91" s="850" t="str">
        <f>IF(I91=0,"",I91)</f>
        <v/>
      </c>
      <c r="M91" s="850" t="str">
        <f>IF(J91=0,"",J91)</f>
        <v/>
      </c>
      <c r="N91" s="850" t="str">
        <f>IF(K91=0,"",K91)</f>
        <v/>
      </c>
      <c r="O91" s="964"/>
      <c r="P91" s="964" t="s">
        <v>151</v>
      </c>
      <c r="Q91" s="964" t="s">
        <v>151</v>
      </c>
      <c r="R91" s="964"/>
      <c r="S91" s="964"/>
      <c r="T91" s="849"/>
      <c r="U91" s="849" t="s">
        <v>2116</v>
      </c>
      <c r="V91" s="849" t="s">
        <v>2116</v>
      </c>
      <c r="W91" s="849"/>
      <c r="X91" s="849"/>
      <c r="Y91" s="1007"/>
      <c r="Z91" s="852"/>
      <c r="AA91" s="855"/>
      <c r="AB91" s="852"/>
      <c r="AC91" s="852"/>
      <c r="AD91" s="852"/>
    </row>
    <row customHeight="1" ht="27">
      <c r="A92" s="851"/>
      <c r="B92" s="905">
        <v>75</v>
      </c>
      <c r="C92" s="849"/>
      <c r="D92" s="974" t="s">
        <v>2112</v>
      </c>
      <c r="E92" s="849"/>
      <c r="F92" s="849"/>
      <c r="G92" s="849"/>
      <c r="H92" s="897"/>
      <c r="I92" s="1012">
        <f>INDEX(TEMPLATE_NUMBER_POINT_FHD,B92,MATCH(TEMPLATE_SPHERE,TEMPLATE_SPHERE_LIST_FOR_NOTE,0))</f>
        <v>0</v>
      </c>
      <c r="J92" s="1012">
        <f>INDEX(TEMPLATE_DATA_POINT_FHD,B92,MATCH(TEMPLATE_SPHERE,TEMPLATE_SPHERE_LIST_FOR_NOTE,0))</f>
        <v>0</v>
      </c>
      <c r="K92" s="1012">
        <f>INDEX(TEMPLATE_NOTE_POINT_FHD,B92,MATCH(TEMPLATE_SPHERE,TEMPLATE_SPHERE_LIST_FOR_NOTE,0))</f>
        <v>0</v>
      </c>
      <c r="L92" s="850" t="str">
        <f>IF(I92=0,"",I92)</f>
        <v/>
      </c>
      <c r="M92" s="850" t="str">
        <f>IF(J92=0,"",J92)</f>
        <v/>
      </c>
      <c r="N92" s="850" t="str">
        <f>IF(K92=0,"",K92)</f>
        <v/>
      </c>
      <c r="O92" s="964"/>
      <c r="P92" s="964" t="s">
        <v>152</v>
      </c>
      <c r="Q92" s="964"/>
      <c r="R92" s="964"/>
      <c r="S92" s="964"/>
      <c r="T92" s="849"/>
      <c r="U92" s="849" t="s">
        <v>2117</v>
      </c>
      <c r="V92" s="849"/>
      <c r="W92" s="849"/>
      <c r="X92" s="849"/>
      <c r="Y92" s="1007"/>
      <c r="Z92" s="852"/>
      <c r="AA92" s="855" t="s">
        <v>2118</v>
      </c>
      <c r="AB92" s="852"/>
      <c r="AC92" s="852"/>
      <c r="AD92" s="852"/>
    </row>
    <row customHeight="1" ht="27">
      <c r="A93" s="851"/>
      <c r="B93" s="905">
        <v>76</v>
      </c>
      <c r="C93" s="849"/>
      <c r="D93" s="974"/>
      <c r="E93" s="849"/>
      <c r="F93" s="849"/>
      <c r="G93" s="849"/>
      <c r="H93" s="897"/>
      <c r="I93" s="1012">
        <f>INDEX(TEMPLATE_NUMBER_POINT_FHD,B93,MATCH(TEMPLATE_SPHERE,TEMPLATE_SPHERE_LIST_FOR_NOTE,0))</f>
        <v>0</v>
      </c>
      <c r="J93" s="1012">
        <f>INDEX(TEMPLATE_DATA_POINT_FHD,B93,MATCH(TEMPLATE_SPHERE,TEMPLATE_SPHERE_LIST_FOR_NOTE,0))</f>
        <v>0</v>
      </c>
      <c r="K93" s="1012">
        <f>INDEX(TEMPLATE_NOTE_POINT_FHD,B93,MATCH(TEMPLATE_SPHERE,TEMPLATE_SPHERE_LIST_FOR_NOTE,0))</f>
        <v>0</v>
      </c>
      <c r="L93" s="850" t="str">
        <f>IF(I93=0,"",I93)</f>
        <v/>
      </c>
      <c r="M93" s="850" t="str">
        <f>IF(J93=0,"",J93)</f>
        <v/>
      </c>
      <c r="N93" s="850" t="str">
        <f>IF(K93=0,"",K93)</f>
        <v/>
      </c>
      <c r="O93" s="964"/>
      <c r="P93" s="964" t="s">
        <v>2017</v>
      </c>
      <c r="Q93" s="964"/>
      <c r="R93" s="964"/>
      <c r="S93" s="964"/>
      <c r="T93" s="849"/>
      <c r="U93" s="849" t="s">
        <v>2119</v>
      </c>
      <c r="V93" s="849"/>
      <c r="W93" s="849"/>
      <c r="X93" s="849"/>
      <c r="Y93" s="1007"/>
      <c r="Z93" s="852"/>
      <c r="AA93" s="855" t="s">
        <v>2120</v>
      </c>
      <c r="AB93" s="852"/>
      <c r="AC93" s="852"/>
      <c r="AD93" s="852"/>
    </row>
    <row customHeight="1" ht="45">
      <c r="A94" s="851"/>
      <c r="B94" s="905">
        <v>77</v>
      </c>
      <c r="C94" s="849"/>
      <c r="D94" s="974" t="s">
        <v>2114</v>
      </c>
      <c r="E94" s="849"/>
      <c r="F94" s="849"/>
      <c r="G94" s="849"/>
      <c r="H94" s="897"/>
      <c r="I94" s="1012">
        <f>INDEX(TEMPLATE_NUMBER_POINT_FHD,B94,MATCH(TEMPLATE_SPHERE,TEMPLATE_SPHERE_LIST_FOR_NOTE,0))</f>
        <v>0</v>
      </c>
      <c r="J94" s="1012">
        <f>INDEX(TEMPLATE_DATA_POINT_FHD,B94,MATCH(TEMPLATE_SPHERE,TEMPLATE_SPHERE_LIST_FOR_NOTE,0))</f>
        <v>0</v>
      </c>
      <c r="K94" s="1012">
        <f>INDEX(TEMPLATE_NOTE_POINT_FHD,B94,MATCH(TEMPLATE_SPHERE,TEMPLATE_SPHERE_LIST_FOR_NOTE,0))</f>
        <v>0</v>
      </c>
      <c r="L94" s="850" t="str">
        <f>IF(I94=0,"",I94)</f>
        <v/>
      </c>
      <c r="M94" s="850" t="str">
        <f>IF(J94=0,"",J94)</f>
        <v/>
      </c>
      <c r="N94" s="850" t="str">
        <f>IF(K94=0,"",K94)</f>
        <v/>
      </c>
      <c r="O94" s="964"/>
      <c r="P94" s="964" t="s">
        <v>1468</v>
      </c>
      <c r="Q94" s="964"/>
      <c r="R94" s="964"/>
      <c r="S94" s="964"/>
      <c r="T94" s="849"/>
      <c r="U94" s="849" t="s">
        <v>2121</v>
      </c>
      <c r="V94" s="849"/>
      <c r="W94" s="849"/>
      <c r="X94" s="849"/>
      <c r="Y94" s="1007"/>
      <c r="Z94" s="852"/>
      <c r="AA94" s="855" t="s">
        <v>2122</v>
      </c>
      <c r="AB94" s="852"/>
      <c r="AC94" s="852"/>
      <c r="AD94" s="852"/>
    </row>
    <row customHeight="1" ht="99">
      <c r="A95" s="851"/>
      <c r="B95" s="905">
        <v>78</v>
      </c>
      <c r="C95" s="849" t="s">
        <v>2123</v>
      </c>
      <c r="D95" s="974"/>
      <c r="E95" s="849"/>
      <c r="F95" s="849"/>
      <c r="G95" s="849"/>
      <c r="H95" s="897"/>
      <c r="I95" s="1012" t="str">
        <f>INDEX(TEMPLATE_NUMBER_POINT_FHD,B95,MATCH(TEMPLATE_SPHERE,TEMPLATE_SPHERE_LIST_FOR_NOTE,0))</f>
        <v>15</v>
      </c>
      <c r="J95" s="1012"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12">
        <f>INDEX(TEMPLATE_NOTE_POINT_FHD,B95,MATCH(TEMPLATE_SPHERE,TEMPLATE_SPHERE_LIST_FOR_NOTE,0))</f>
        <v>0</v>
      </c>
      <c r="L95" s="850" t="str">
        <f>IF(I95=0,"",I95)</f>
        <v>15</v>
      </c>
      <c r="M95" s="850"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50" t="str">
        <f>IF(K95=0,"",K95)</f>
        <v/>
      </c>
      <c r="O95" s="964" t="s">
        <v>1468</v>
      </c>
      <c r="P95" s="964"/>
      <c r="Q95" s="964"/>
      <c r="R95" s="964"/>
      <c r="S95" s="964"/>
      <c r="T95" s="849" t="s">
        <v>2124</v>
      </c>
      <c r="U95" s="849"/>
      <c r="V95" s="849"/>
      <c r="W95" s="849"/>
      <c r="X95" s="849"/>
      <c r="Y95" s="1007"/>
      <c r="Z95" s="852"/>
      <c r="AA95" s="855"/>
      <c r="AB95" s="852"/>
      <c r="AC95" s="852"/>
      <c r="AD95" s="852"/>
    </row>
    <row customHeight="1" ht="99">
      <c r="A96" s="851"/>
      <c r="B96" s="905">
        <v>79</v>
      </c>
      <c r="C96" s="849" t="s">
        <v>1066</v>
      </c>
      <c r="D96" s="974"/>
      <c r="E96" s="849"/>
      <c r="F96" s="849"/>
      <c r="G96" s="849"/>
      <c r="H96" s="897"/>
      <c r="I96" s="1012" t="str">
        <f>INDEX(TEMPLATE_NUMBER_POINT_FHD,B96,MATCH(TEMPLATE_SPHERE,TEMPLATE_SPHERE_LIST_FOR_NOTE,0))</f>
        <v>16</v>
      </c>
      <c r="J96" s="1012"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12"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50" t="str">
        <f>IF(I96=0,"",I96)</f>
        <v>16</v>
      </c>
      <c r="M96" s="850"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50"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4" t="s">
        <v>1474</v>
      </c>
      <c r="P96" s="964"/>
      <c r="Q96" s="964"/>
      <c r="R96" s="964"/>
      <c r="S96" s="964"/>
      <c r="T96" s="849" t="s">
        <v>2125</v>
      </c>
      <c r="U96" s="849"/>
      <c r="V96" s="849"/>
      <c r="W96" s="849"/>
      <c r="X96" s="849"/>
      <c r="Y96" s="1007"/>
      <c r="Z96" s="852" t="s">
        <v>2126</v>
      </c>
      <c r="AA96" s="855"/>
      <c r="AB96" s="852"/>
      <c r="AC96" s="852"/>
      <c r="AD96" s="852"/>
    </row>
    <row customHeight="1" ht="63">
      <c r="A97" s="851"/>
      <c r="B97" s="905">
        <v>80</v>
      </c>
      <c r="C97" s="849" t="s">
        <v>2127</v>
      </c>
      <c r="D97" s="974"/>
      <c r="E97" s="849"/>
      <c r="F97" s="849"/>
      <c r="G97" s="849"/>
      <c r="H97" s="897"/>
      <c r="I97" s="1012" t="str">
        <f>INDEX(TEMPLATE_NUMBER_POINT_FHD,B97,MATCH(TEMPLATE_SPHERE,TEMPLATE_SPHERE_LIST_FOR_NOTE,0))</f>
        <v>17</v>
      </c>
      <c r="J97" s="1012"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12"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50" t="str">
        <f>IF(I97=0,"",I97)</f>
        <v>17</v>
      </c>
      <c r="M97" s="850"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50" t="str">
        <f>IF(K97=0,"",K97)</f>
        <v>Регулируемыми организациями указывается информация с по договорам, заключенным в рамках осуществления регулируемой деятельности.</v>
      </c>
      <c r="O97" s="964" t="s">
        <v>1485</v>
      </c>
      <c r="P97" s="964"/>
      <c r="Q97" s="964"/>
      <c r="R97" s="964"/>
      <c r="S97" s="964"/>
      <c r="T97" s="849" t="s">
        <v>2128</v>
      </c>
      <c r="U97" s="849"/>
      <c r="V97" s="849"/>
      <c r="W97" s="849"/>
      <c r="X97" s="849"/>
      <c r="Y97" s="1007"/>
      <c r="Z97" s="852" t="s">
        <v>2129</v>
      </c>
      <c r="AA97" s="855"/>
      <c r="AB97" s="852"/>
      <c r="AC97" s="852"/>
      <c r="AD97" s="852"/>
    </row>
    <row customHeight="1" ht="63">
      <c r="A98" s="851"/>
      <c r="B98" s="905">
        <v>81</v>
      </c>
      <c r="C98" s="849" t="s">
        <v>2130</v>
      </c>
      <c r="D98" s="974"/>
      <c r="E98" s="849"/>
      <c r="F98" s="849"/>
      <c r="G98" s="849"/>
      <c r="H98" s="897"/>
      <c r="I98" s="1012" t="str">
        <f>INDEX(TEMPLATE_NUMBER_POINT_FHD,B98,MATCH(TEMPLATE_SPHERE,TEMPLATE_SPHERE_LIST_FOR_NOTE,0))</f>
        <v>18</v>
      </c>
      <c r="J98" s="1012"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12"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50" t="str">
        <f>IF(I98=0,"",I98)</f>
        <v>18</v>
      </c>
      <c r="M98" s="850"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50" t="str">
        <f>IF(K98=0,"",K98)</f>
        <v>Регулируемыми организациями указывается информация с по договорам, заключенным в рамках осуществления регулируемой деятельности.</v>
      </c>
      <c r="O98" s="964" t="s">
        <v>1499</v>
      </c>
      <c r="P98" s="964"/>
      <c r="Q98" s="964"/>
      <c r="R98" s="964"/>
      <c r="S98" s="964"/>
      <c r="T98" s="849" t="s">
        <v>2131</v>
      </c>
      <c r="U98" s="849"/>
      <c r="V98" s="849"/>
      <c r="W98" s="849"/>
      <c r="X98" s="849"/>
      <c r="Y98" s="1007"/>
      <c r="Z98" s="852" t="s">
        <v>2129</v>
      </c>
      <c r="AA98" s="855"/>
      <c r="AB98" s="852"/>
      <c r="AC98" s="852"/>
      <c r="AD98" s="852"/>
    </row>
    <row customHeight="1" ht="90">
      <c r="A99" s="851"/>
      <c r="B99" s="905">
        <v>82</v>
      </c>
      <c r="C99" s="849" t="s">
        <v>2132</v>
      </c>
      <c r="D99" s="974"/>
      <c r="E99" s="849"/>
      <c r="F99" s="849"/>
      <c r="G99" s="849"/>
      <c r="H99" s="897"/>
      <c r="I99" s="1012" t="str">
        <f>INDEX(TEMPLATE_NUMBER_POINT_FHD,B99,MATCH(TEMPLATE_SPHERE,TEMPLATE_SPHERE_LIST_FOR_NOTE,0))</f>
        <v>19</v>
      </c>
      <c r="J99" s="1012"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12" t="str">
        <f>INDEX(TEMPLATE_NOTE_POINT_FHD,B99,MATCH(TEMPLATE_SPHERE,TEMPLATE_SPHERE_LIST_FOR_NOTE,0))</f>
        <v>Указывается ссылка на документ, предварительно загруженный в хранилище файлов ФГИС ЕИАС.</v>
      </c>
      <c r="L99" s="850" t="str">
        <f>IF(I99=0,"",I99)</f>
        <v>19</v>
      </c>
      <c r="M99" s="850"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50" t="str">
        <f>IF(K99=0,"",K99)</f>
        <v>Указывается ссылка на документ, предварительно загруженный в хранилище файлов ФГИС ЕИАС.</v>
      </c>
      <c r="O99" s="964" t="s">
        <v>1511</v>
      </c>
      <c r="P99" s="964"/>
      <c r="Q99" s="964"/>
      <c r="R99" s="964"/>
      <c r="S99" s="964"/>
      <c r="T99" s="849" t="s">
        <v>2133</v>
      </c>
      <c r="U99" s="849"/>
      <c r="V99" s="849"/>
      <c r="W99" s="849"/>
      <c r="X99" s="849"/>
      <c r="Y99" s="1007"/>
      <c r="Z99" s="852" t="s">
        <v>790</v>
      </c>
      <c r="AA99" s="855"/>
      <c r="AB99" s="852"/>
      <c r="AC99" s="852"/>
      <c r="AD99" s="852"/>
    </row>
    <row customHeight="1" ht="27">
      <c r="A100" s="851"/>
      <c r="B100" s="905">
        <v>83</v>
      </c>
      <c r="C100" s="849"/>
      <c r="D100" s="974"/>
      <c r="E100" s="849"/>
      <c r="F100" s="849"/>
      <c r="G100" s="849"/>
      <c r="H100" s="897"/>
      <c r="I100" s="1012" t="str">
        <f>INDEX(TEMPLATE_NUMBER_POINT_FHD,B100,MATCH(TEMPLATE_SPHERE,TEMPLATE_SPHERE_LIST_FOR_NOTE,0))</f>
        <v>19.1</v>
      </c>
      <c r="J100" s="1012" t="str">
        <f>INDEX(TEMPLATE_DATA_POINT_FHD,B100,MATCH(TEMPLATE_SPHERE,TEMPLATE_SPHERE_LIST_FOR_NOTE,0))</f>
        <v>Информация о показателях физического износа объектов теплоснабжения</v>
      </c>
      <c r="K100" s="1012" t="str">
        <f>INDEX(TEMPLATE_NOTE_POINT_FHD,B100,MATCH(TEMPLATE_SPHERE,TEMPLATE_SPHERE_LIST_FOR_NOTE,0))</f>
        <v>Указывается ссылка на документ, предварительно загруженный в хранилище файлов ФГИС ЕИАС.</v>
      </c>
      <c r="L100" s="850" t="str">
        <f>IF(I100=0,"",I100)</f>
        <v>19.1</v>
      </c>
      <c r="M100" s="850" t="str">
        <f>IF(J100=0,"",J100)</f>
        <v>Информация о показателях физического износа объектов теплоснабжения</v>
      </c>
      <c r="N100" s="850" t="str">
        <f>IF(K100=0,"",K100)</f>
        <v>Указывается ссылка на документ, предварительно загруженный в хранилище файлов ФГИС ЕИАС.</v>
      </c>
      <c r="O100" s="964" t="s">
        <v>2134</v>
      </c>
      <c r="P100" s="964"/>
      <c r="Q100" s="964"/>
      <c r="R100" s="964"/>
      <c r="S100" s="964"/>
      <c r="T100" s="849" t="s">
        <v>2135</v>
      </c>
      <c r="U100" s="849"/>
      <c r="V100" s="849"/>
      <c r="W100" s="849"/>
      <c r="X100" s="849"/>
      <c r="Y100" s="1007"/>
      <c r="Z100" s="852" t="s">
        <v>790</v>
      </c>
      <c r="AA100" s="855"/>
      <c r="AB100" s="852"/>
      <c r="AC100" s="852"/>
      <c r="AD100" s="852"/>
    </row>
    <row customHeight="1" ht="27">
      <c r="A101" s="851"/>
      <c r="B101" s="905">
        <v>84</v>
      </c>
      <c r="C101" s="849"/>
      <c r="D101" s="974"/>
      <c r="E101" s="849"/>
      <c r="F101" s="849"/>
      <c r="G101" s="849"/>
      <c r="H101" s="897"/>
      <c r="I101" s="1012" t="str">
        <f>INDEX(TEMPLATE_NUMBER_POINT_FHD,B101,MATCH(TEMPLATE_SPHERE,TEMPLATE_SPHERE_LIST_FOR_NOTE,0))</f>
        <v>19.2</v>
      </c>
      <c r="J101" s="1012" t="str">
        <f>INDEX(TEMPLATE_DATA_POINT_FHD,B101,MATCH(TEMPLATE_SPHERE,TEMPLATE_SPHERE_LIST_FOR_NOTE,0))</f>
        <v>Информация о показателях энергетической эффективности объектов теплоснабжения</v>
      </c>
      <c r="K101" s="1012" t="str">
        <f>INDEX(TEMPLATE_NOTE_POINT_FHD,B101,MATCH(TEMPLATE_SPHERE,TEMPLATE_SPHERE_LIST_FOR_NOTE,0))</f>
        <v>Указывается ссылка на документ, предварительно загруженный в хранилище файлов ФГИС ЕИАС.</v>
      </c>
      <c r="L101" s="850" t="str">
        <f>IF(I101=0,"",I101)</f>
        <v>19.2</v>
      </c>
      <c r="M101" s="850" t="str">
        <f>IF(J101=0,"",J101)</f>
        <v>Информация о показателях энергетической эффективности объектов теплоснабжения</v>
      </c>
      <c r="N101" s="850" t="str">
        <f>IF(K101=0,"",K101)</f>
        <v>Указывается ссылка на документ, предварительно загруженный в хранилище файлов ФГИС ЕИАС.</v>
      </c>
      <c r="O101" s="964" t="s">
        <v>2136</v>
      </c>
      <c r="P101" s="964"/>
      <c r="Q101" s="964"/>
      <c r="R101" s="964"/>
      <c r="S101" s="964"/>
      <c r="T101" s="849" t="s">
        <v>2137</v>
      </c>
      <c r="U101" s="849"/>
      <c r="V101" s="849"/>
      <c r="W101" s="849"/>
      <c r="X101" s="849"/>
      <c r="Y101" s="1007"/>
      <c r="Z101" s="852" t="s">
        <v>790</v>
      </c>
      <c r="AA101" s="855"/>
      <c r="AB101" s="852"/>
      <c r="AC101" s="852"/>
      <c r="AD101" s="852"/>
    </row>
    <row customHeight="1" ht="9">
      <c r="A102" s="851"/>
      <c r="B102" s="851"/>
      <c r="C102" s="849"/>
      <c r="D102" s="849"/>
      <c r="E102" s="849"/>
      <c r="F102" s="849"/>
      <c r="G102" s="849"/>
      <c r="H102" s="897"/>
      <c r="I102" s="897"/>
      <c r="J102" s="897"/>
      <c r="K102" s="897"/>
      <c r="L102" s="897"/>
      <c r="M102" s="849"/>
      <c r="N102" s="896"/>
      <c r="O102" s="964"/>
      <c r="P102" s="964"/>
      <c r="Q102" s="964"/>
      <c r="R102" s="964"/>
      <c r="S102" s="849"/>
      <c r="T102" s="849"/>
      <c r="U102" s="849"/>
      <c r="V102" s="849"/>
      <c r="W102" s="849"/>
      <c r="X102" s="849"/>
      <c r="Y102" s="1007"/>
      <c r="Z102" s="852"/>
      <c r="AA102" s="855"/>
      <c r="AB102" s="852"/>
      <c r="AC102" s="852"/>
      <c r="AD102" s="852"/>
    </row>
    <row customHeight="1" ht="9">
      <c r="A103" s="851"/>
      <c r="B103" s="851"/>
      <c r="C103" s="849"/>
      <c r="D103" s="849"/>
      <c r="E103" s="849"/>
      <c r="F103" s="849"/>
      <c r="G103" s="849"/>
      <c r="H103" s="897"/>
      <c r="I103" s="897"/>
      <c r="J103" s="897"/>
      <c r="K103" s="897"/>
      <c r="L103" s="897"/>
      <c r="M103" s="849"/>
      <c r="N103" s="896"/>
      <c r="O103" s="964"/>
      <c r="P103" s="964"/>
      <c r="Q103" s="964"/>
      <c r="R103" s="964"/>
      <c r="S103" s="849"/>
      <c r="T103" s="849"/>
      <c r="U103" s="849"/>
      <c r="V103" s="849"/>
      <c r="W103" s="849"/>
      <c r="X103" s="849"/>
      <c r="Y103" s="1007"/>
      <c r="Z103" s="852"/>
      <c r="AA103" s="855"/>
      <c r="AB103" s="852"/>
      <c r="AC103" s="852"/>
      <c r="AD103" s="852"/>
    </row>
    <row customHeight="1" ht="9">
      <c r="A104" s="851"/>
      <c r="B104" s="851"/>
      <c r="C104" s="849"/>
      <c r="D104" s="849"/>
      <c r="E104" s="849"/>
      <c r="F104" s="849"/>
      <c r="G104" s="849"/>
      <c r="H104" s="897"/>
      <c r="I104" s="897"/>
      <c r="J104" s="897"/>
      <c r="K104" s="897"/>
      <c r="L104" s="897"/>
      <c r="M104" s="849"/>
      <c r="N104" s="896"/>
      <c r="O104" s="964"/>
      <c r="P104" s="964"/>
      <c r="Q104" s="964"/>
      <c r="R104" s="964"/>
      <c r="S104" s="849"/>
      <c r="T104" s="849"/>
      <c r="U104" s="849"/>
      <c r="V104" s="849"/>
      <c r="W104" s="849"/>
      <c r="X104" s="849"/>
      <c r="Y104" s="1007"/>
      <c r="Z104" s="852"/>
      <c r="AA104" s="855"/>
      <c r="AB104" s="852"/>
      <c r="AC104" s="852"/>
      <c r="AD104" s="852"/>
    </row>
    <row customHeight="1" ht="9">
      <c r="A105" s="851"/>
      <c r="B105" s="851"/>
      <c r="C105" s="849"/>
      <c r="D105" s="849"/>
      <c r="E105" s="849"/>
      <c r="F105" s="849"/>
      <c r="G105" s="849"/>
      <c r="H105" s="897"/>
      <c r="I105" s="897"/>
      <c r="J105" s="897"/>
      <c r="K105" s="897"/>
      <c r="L105" s="897"/>
      <c r="M105" s="849"/>
      <c r="N105" s="896"/>
      <c r="O105" s="964"/>
      <c r="P105" s="964"/>
      <c r="Q105" s="964"/>
      <c r="R105" s="964"/>
      <c r="S105" s="849"/>
      <c r="T105" s="849"/>
      <c r="U105" s="849"/>
      <c r="V105" s="849"/>
      <c r="W105" s="849"/>
      <c r="X105" s="849"/>
      <c r="Y105" s="1007"/>
      <c r="Z105" s="852"/>
      <c r="AA105" s="855"/>
      <c r="AB105" s="852"/>
      <c r="AC105" s="852"/>
      <c r="AD105" s="852"/>
    </row>
    <row customHeight="1" ht="9">
      <c r="A106" s="851"/>
      <c r="B106" s="851"/>
      <c r="C106" s="849"/>
      <c r="D106" s="849"/>
      <c r="E106" s="849"/>
      <c r="F106" s="849"/>
      <c r="G106" s="849"/>
      <c r="H106" s="897"/>
      <c r="I106" s="897"/>
      <c r="J106" s="897"/>
      <c r="K106" s="897"/>
      <c r="L106" s="897"/>
      <c r="M106" s="849"/>
      <c r="N106" s="896"/>
      <c r="O106" s="964"/>
      <c r="P106" s="964"/>
      <c r="Q106" s="964"/>
      <c r="R106" s="964"/>
      <c r="S106" s="849"/>
      <c r="T106" s="849"/>
      <c r="U106" s="849"/>
      <c r="V106" s="849"/>
      <c r="W106" s="849"/>
      <c r="X106" s="849"/>
      <c r="Y106" s="1007"/>
      <c r="Z106" s="852"/>
      <c r="AA106" s="855"/>
      <c r="AB106" s="852"/>
      <c r="AC106" s="852"/>
      <c r="AD106" s="852"/>
    </row>
    <row customHeight="1" ht="9">
      <c r="A107" s="851"/>
      <c r="B107" s="851"/>
      <c r="C107" s="849"/>
      <c r="D107" s="849"/>
      <c r="E107" s="849"/>
      <c r="F107" s="849"/>
      <c r="G107" s="849"/>
      <c r="H107" s="897"/>
      <c r="I107" s="897"/>
      <c r="J107" s="897"/>
      <c r="K107" s="897"/>
      <c r="L107" s="897"/>
      <c r="M107" s="849"/>
      <c r="N107" s="896"/>
      <c r="O107" s="964"/>
      <c r="P107" s="964"/>
      <c r="Q107" s="964"/>
      <c r="R107" s="964"/>
      <c r="S107" s="849"/>
      <c r="T107" s="849"/>
      <c r="U107" s="849"/>
      <c r="V107" s="849"/>
      <c r="W107" s="849"/>
      <c r="X107" s="849"/>
      <c r="Y107" s="1007"/>
      <c r="Z107" s="852"/>
      <c r="AA107" s="855"/>
      <c r="AB107" s="852"/>
      <c r="AC107" s="852"/>
      <c r="AD107" s="852"/>
    </row>
    <row customHeight="1" ht="9">
      <c r="A108" s="851"/>
      <c r="B108" s="851"/>
      <c r="C108" s="849"/>
      <c r="D108" s="849"/>
      <c r="E108" s="849"/>
      <c r="F108" s="849"/>
      <c r="G108" s="849"/>
      <c r="H108" s="897"/>
      <c r="I108" s="897"/>
      <c r="J108" s="897"/>
      <c r="K108" s="897"/>
      <c r="L108" s="897"/>
      <c r="M108" s="849"/>
      <c r="N108" s="896"/>
      <c r="O108" s="964"/>
      <c r="P108" s="964"/>
      <c r="Q108" s="964"/>
      <c r="R108" s="964"/>
      <c r="S108" s="849"/>
      <c r="T108" s="849"/>
      <c r="U108" s="849"/>
      <c r="V108" s="849"/>
      <c r="W108" s="849"/>
      <c r="X108" s="849"/>
      <c r="Y108" s="1007"/>
      <c r="Z108" s="852"/>
      <c r="AA108" s="855"/>
      <c r="AB108" s="852"/>
      <c r="AC108" s="852"/>
      <c r="AD108" s="852"/>
    </row>
    <row customHeight="1" ht="9">
      <c r="A109" s="851"/>
      <c r="B109" s="851"/>
      <c r="C109" s="849"/>
      <c r="D109" s="849"/>
      <c r="E109" s="849"/>
      <c r="F109" s="849"/>
      <c r="G109" s="849"/>
      <c r="H109" s="897"/>
      <c r="I109" s="897"/>
      <c r="J109" s="897"/>
      <c r="K109" s="897"/>
      <c r="L109" s="897"/>
      <c r="M109" s="849"/>
      <c r="N109" s="896"/>
      <c r="O109" s="964"/>
      <c r="P109" s="964"/>
      <c r="Q109" s="964"/>
      <c r="R109" s="964"/>
      <c r="S109" s="849"/>
      <c r="T109" s="849"/>
      <c r="U109" s="849"/>
      <c r="V109" s="849"/>
      <c r="W109" s="849"/>
      <c r="X109" s="849"/>
      <c r="Y109" s="1007"/>
      <c r="Z109" s="852"/>
      <c r="AA109" s="855"/>
      <c r="AB109" s="852"/>
      <c r="AC109" s="852"/>
      <c r="AD109" s="852"/>
    </row>
    <row customHeight="1" ht="9">
      <c r="A110" s="851"/>
      <c r="B110" s="851"/>
      <c r="C110" s="849"/>
      <c r="D110" s="849"/>
      <c r="E110" s="849"/>
      <c r="F110" s="849"/>
      <c r="G110" s="849"/>
      <c r="H110" s="897"/>
      <c r="I110" s="897"/>
      <c r="J110" s="897"/>
      <c r="K110" s="897"/>
      <c r="L110" s="897"/>
      <c r="M110" s="849"/>
      <c r="N110" s="896"/>
      <c r="O110" s="964"/>
      <c r="P110" s="964"/>
      <c r="Q110" s="964"/>
      <c r="R110" s="964"/>
      <c r="S110" s="849"/>
      <c r="T110" s="849"/>
      <c r="U110" s="849"/>
      <c r="V110" s="849"/>
      <c r="W110" s="849"/>
      <c r="X110" s="849"/>
      <c r="Y110" s="1007"/>
      <c r="Z110" s="852"/>
      <c r="AA110" s="855"/>
      <c r="AB110" s="852"/>
      <c r="AC110" s="852"/>
      <c r="AD110" s="852"/>
    </row>
    <row customHeight="1" ht="9">
      <c r="A111" s="851"/>
      <c r="B111" s="851"/>
      <c r="C111" s="849"/>
      <c r="D111" s="849"/>
      <c r="E111" s="849"/>
      <c r="F111" s="849"/>
      <c r="G111" s="849"/>
      <c r="H111" s="897"/>
      <c r="I111" s="897"/>
      <c r="J111" s="897"/>
      <c r="K111" s="897"/>
      <c r="L111" s="897"/>
      <c r="M111" s="849"/>
      <c r="N111" s="896"/>
      <c r="O111" s="964"/>
      <c r="P111" s="964"/>
      <c r="Q111" s="964"/>
      <c r="R111" s="964"/>
      <c r="S111" s="849"/>
      <c r="T111" s="849"/>
      <c r="U111" s="849"/>
      <c r="V111" s="849"/>
      <c r="W111" s="849"/>
      <c r="X111" s="849"/>
      <c r="Y111" s="1007"/>
      <c r="Z111" s="852"/>
      <c r="AA111" s="855"/>
      <c r="AB111" s="852"/>
      <c r="AC111" s="852"/>
      <c r="AD111" s="852"/>
    </row>
    <row customHeight="1" ht="9">
      <c r="A112" s="851"/>
      <c r="B112" s="851"/>
      <c r="C112" s="849"/>
      <c r="D112" s="849"/>
      <c r="E112" s="849"/>
      <c r="F112" s="849"/>
      <c r="G112" s="849"/>
      <c r="H112" s="897"/>
      <c r="I112" s="897"/>
      <c r="J112" s="897"/>
      <c r="K112" s="897"/>
      <c r="L112" s="897"/>
      <c r="M112" s="849"/>
      <c r="N112" s="896"/>
      <c r="O112" s="964"/>
      <c r="P112" s="964"/>
      <c r="Q112" s="964"/>
      <c r="R112" s="964"/>
      <c r="S112" s="849"/>
      <c r="T112" s="849"/>
      <c r="U112" s="849"/>
      <c r="V112" s="849"/>
      <c r="W112" s="849"/>
      <c r="X112" s="849"/>
      <c r="Y112" s="1007"/>
      <c r="Z112" s="852"/>
      <c r="AA112" s="855"/>
      <c r="AB112" s="852"/>
      <c r="AC112" s="852"/>
      <c r="AD112" s="852"/>
    </row>
    <row customHeight="1" ht="9">
      <c r="A113" s="851"/>
      <c r="B113" s="851"/>
      <c r="C113" s="849"/>
      <c r="D113" s="849"/>
      <c r="E113" s="849"/>
      <c r="F113" s="849"/>
      <c r="G113" s="849"/>
      <c r="H113" s="897"/>
      <c r="I113" s="897"/>
      <c r="J113" s="897"/>
      <c r="K113" s="897"/>
      <c r="L113" s="897"/>
      <c r="M113" s="849"/>
      <c r="N113" s="896"/>
      <c r="O113" s="964"/>
      <c r="P113" s="964"/>
      <c r="Q113" s="964"/>
      <c r="R113" s="964"/>
      <c r="S113" s="849"/>
      <c r="T113" s="849"/>
      <c r="U113" s="849"/>
      <c r="V113" s="849"/>
      <c r="W113" s="849"/>
      <c r="X113" s="849"/>
      <c r="Y113" s="1007"/>
      <c r="Z113" s="852"/>
      <c r="AA113" s="855"/>
      <c r="AB113" s="852"/>
      <c r="AC113" s="852"/>
      <c r="AD113" s="852"/>
    </row>
    <row customHeight="1" ht="9">
      <c r="A114" s="851"/>
      <c r="B114" s="851"/>
      <c r="C114" s="849"/>
      <c r="D114" s="849"/>
      <c r="E114" s="849"/>
      <c r="F114" s="849"/>
      <c r="G114" s="849"/>
      <c r="H114" s="897"/>
      <c r="I114" s="897"/>
      <c r="J114" s="897"/>
      <c r="K114" s="897"/>
      <c r="L114" s="897"/>
      <c r="M114" s="849"/>
      <c r="N114" s="896"/>
      <c r="O114" s="964"/>
      <c r="P114" s="964"/>
      <c r="Q114" s="964"/>
      <c r="R114" s="964"/>
      <c r="S114" s="849"/>
      <c r="T114" s="849"/>
      <c r="U114" s="849"/>
      <c r="V114" s="849"/>
      <c r="W114" s="849"/>
      <c r="X114" s="849"/>
      <c r="Y114" s="1007"/>
      <c r="Z114" s="852"/>
      <c r="AA114" s="855"/>
      <c r="AB114" s="852"/>
      <c r="AC114" s="852"/>
      <c r="AD114" s="852"/>
    </row>
    <row customHeight="1" ht="9">
      <c r="A115" s="851"/>
      <c r="B115" s="851"/>
      <c r="C115" s="849"/>
      <c r="D115" s="849"/>
      <c r="E115" s="849"/>
      <c r="F115" s="849"/>
      <c r="G115" s="849"/>
      <c r="H115" s="897"/>
      <c r="I115" s="897"/>
      <c r="J115" s="897"/>
      <c r="K115" s="897"/>
      <c r="L115" s="897"/>
      <c r="M115" s="849"/>
      <c r="N115" s="896"/>
      <c r="O115" s="964"/>
      <c r="P115" s="964"/>
      <c r="Q115" s="964"/>
      <c r="R115" s="964"/>
      <c r="S115" s="849"/>
      <c r="T115" s="849"/>
      <c r="U115" s="849"/>
      <c r="V115" s="849"/>
      <c r="W115" s="849"/>
      <c r="X115" s="849"/>
      <c r="Y115" s="1007"/>
      <c r="Z115" s="852"/>
      <c r="AA115" s="855"/>
      <c r="AB115" s="852"/>
      <c r="AC115" s="852"/>
      <c r="AD115" s="852"/>
    </row>
    <row customHeight="1" ht="9">
      <c r="A116" s="851"/>
      <c r="B116" s="851"/>
      <c r="C116" s="849"/>
      <c r="D116" s="849"/>
      <c r="E116" s="849"/>
      <c r="F116" s="849"/>
      <c r="G116" s="849"/>
      <c r="H116" s="897"/>
      <c r="I116" s="897"/>
      <c r="J116" s="897"/>
      <c r="K116" s="897"/>
      <c r="L116" s="897"/>
      <c r="M116" s="849"/>
      <c r="N116" s="896"/>
      <c r="O116" s="964"/>
      <c r="P116" s="964"/>
      <c r="Q116" s="964"/>
      <c r="R116" s="964"/>
      <c r="S116" s="849"/>
      <c r="T116" s="849"/>
      <c r="U116" s="849"/>
      <c r="V116" s="849"/>
      <c r="W116" s="849"/>
      <c r="X116" s="849"/>
      <c r="Y116" s="1007"/>
      <c r="Z116" s="852"/>
      <c r="AA116" s="855"/>
      <c r="AB116" s="852"/>
      <c r="AC116" s="852"/>
      <c r="AD116" s="852"/>
    </row>
    <row customHeight="1" ht="9">
      <c r="A117" s="851"/>
      <c r="B117" s="851"/>
      <c r="C117" s="849"/>
      <c r="D117" s="849"/>
      <c r="E117" s="849"/>
      <c r="F117" s="849"/>
      <c r="G117" s="849"/>
      <c r="H117" s="897"/>
      <c r="I117" s="897"/>
      <c r="J117" s="897"/>
      <c r="K117" s="897"/>
      <c r="L117" s="897"/>
      <c r="M117" s="849"/>
      <c r="N117" s="896"/>
      <c r="O117" s="964"/>
      <c r="P117" s="964"/>
      <c r="Q117" s="964"/>
      <c r="R117" s="964"/>
      <c r="S117" s="849"/>
      <c r="T117" s="849"/>
      <c r="U117" s="849"/>
      <c r="V117" s="849"/>
      <c r="W117" s="849"/>
      <c r="X117" s="849"/>
      <c r="Y117" s="1007"/>
      <c r="Z117" s="852"/>
      <c r="AA117" s="855"/>
      <c r="AB117" s="852"/>
      <c r="AC117" s="852"/>
      <c r="AD117" s="852"/>
    </row>
    <row customHeight="1" ht="9">
      <c r="A118" s="851"/>
      <c r="B118" s="851"/>
      <c r="C118" s="849"/>
      <c r="D118" s="849"/>
      <c r="E118" s="849"/>
      <c r="F118" s="849"/>
      <c r="G118" s="849"/>
      <c r="H118" s="897"/>
      <c r="I118" s="897"/>
      <c r="J118" s="897"/>
      <c r="K118" s="897"/>
      <c r="L118" s="897"/>
      <c r="M118" s="849"/>
      <c r="N118" s="896"/>
      <c r="O118" s="964"/>
      <c r="P118" s="964"/>
      <c r="Q118" s="964"/>
      <c r="R118" s="964"/>
      <c r="S118" s="849"/>
      <c r="T118" s="849"/>
      <c r="U118" s="849"/>
      <c r="V118" s="849"/>
      <c r="W118" s="849"/>
      <c r="X118" s="849"/>
      <c r="Y118" s="1007"/>
      <c r="Z118" s="852"/>
      <c r="AA118" s="855"/>
      <c r="AB118" s="852"/>
      <c r="AC118" s="852"/>
      <c r="AD118" s="852"/>
    </row>
    <row customHeight="1" ht="9">
      <c r="A119" s="851"/>
      <c r="B119" s="851"/>
      <c r="C119" s="849"/>
      <c r="D119" s="849"/>
      <c r="E119" s="849"/>
      <c r="F119" s="849"/>
      <c r="G119" s="849"/>
      <c r="H119" s="897"/>
      <c r="I119" s="897"/>
      <c r="J119" s="897"/>
      <c r="K119" s="897"/>
      <c r="L119" s="897"/>
      <c r="M119" s="849"/>
      <c r="N119" s="896"/>
      <c r="O119" s="964"/>
      <c r="P119" s="964"/>
      <c r="Q119" s="964"/>
      <c r="R119" s="964"/>
      <c r="S119" s="849"/>
      <c r="T119" s="849"/>
      <c r="U119" s="849"/>
      <c r="V119" s="849"/>
      <c r="W119" s="849"/>
      <c r="X119" s="849"/>
      <c r="Y119" s="1007"/>
      <c r="Z119" s="852"/>
      <c r="AA119" s="855"/>
      <c r="AB119" s="852"/>
      <c r="AC119" s="852"/>
      <c r="AD119" s="852"/>
    </row>
    <row customHeight="1" ht="9">
      <c r="A120" s="851"/>
      <c r="B120" s="851"/>
      <c r="C120" s="849"/>
      <c r="D120" s="849"/>
      <c r="E120" s="849"/>
      <c r="F120" s="849"/>
      <c r="G120" s="849"/>
      <c r="H120" s="897"/>
      <c r="I120" s="897"/>
      <c r="J120" s="897"/>
      <c r="K120" s="897"/>
      <c r="L120" s="897"/>
      <c r="M120" s="849"/>
      <c r="N120" s="896"/>
      <c r="O120" s="964"/>
      <c r="P120" s="964"/>
      <c r="Q120" s="964"/>
      <c r="R120" s="964"/>
      <c r="S120" s="849"/>
      <c r="T120" s="849"/>
      <c r="U120" s="849"/>
      <c r="V120" s="849"/>
      <c r="W120" s="849"/>
      <c r="X120" s="849"/>
      <c r="Y120" s="1007"/>
      <c r="Z120" s="852"/>
      <c r="AA120" s="855"/>
      <c r="AB120" s="852"/>
      <c r="AC120" s="852"/>
      <c r="AD120" s="852"/>
    </row>
    <row customHeight="1" ht="9">
      <c r="A121" s="851"/>
      <c r="B121" s="851"/>
      <c r="C121" s="849"/>
      <c r="D121" s="849"/>
      <c r="E121" s="849"/>
      <c r="F121" s="849"/>
      <c r="G121" s="849"/>
      <c r="H121" s="897"/>
      <c r="I121" s="897"/>
      <c r="J121" s="897"/>
      <c r="K121" s="897"/>
      <c r="L121" s="897"/>
      <c r="M121" s="849"/>
      <c r="N121" s="896"/>
      <c r="O121" s="964"/>
      <c r="P121" s="964"/>
      <c r="Q121" s="964"/>
      <c r="R121" s="964"/>
      <c r="S121" s="849"/>
      <c r="T121" s="849"/>
      <c r="U121" s="849"/>
      <c r="V121" s="849"/>
      <c r="W121" s="849"/>
      <c r="X121" s="849"/>
      <c r="Y121" s="1007"/>
      <c r="Z121" s="852"/>
      <c r="AA121" s="855"/>
      <c r="AB121" s="852"/>
      <c r="AC121" s="852"/>
      <c r="AD121" s="852"/>
    </row>
    <row customHeight="1" ht="9">
      <c r="A122" s="851"/>
      <c r="B122" s="851"/>
      <c r="C122" s="849"/>
      <c r="D122" s="849"/>
      <c r="E122" s="849"/>
      <c r="F122" s="849"/>
      <c r="G122" s="849"/>
      <c r="H122" s="897"/>
      <c r="I122" s="897"/>
      <c r="J122" s="897"/>
      <c r="K122" s="897"/>
      <c r="L122" s="897"/>
      <c r="M122" s="849"/>
      <c r="N122" s="896"/>
      <c r="O122" s="964"/>
      <c r="P122" s="964"/>
      <c r="Q122" s="964"/>
      <c r="R122" s="964"/>
      <c r="S122" s="849"/>
      <c r="T122" s="849"/>
      <c r="U122" s="849"/>
      <c r="V122" s="849"/>
      <c r="W122" s="849"/>
      <c r="X122" s="849"/>
      <c r="Y122" s="1007"/>
      <c r="Z122" s="852"/>
      <c r="AA122" s="855"/>
      <c r="AB122" s="852"/>
      <c r="AC122" s="852"/>
      <c r="AD122" s="852"/>
    </row>
    <row customHeight="1" ht="9">
      <c r="A123" s="851"/>
      <c r="B123" s="851"/>
      <c r="C123" s="849"/>
      <c r="D123" s="849"/>
      <c r="E123" s="849"/>
      <c r="F123" s="849"/>
      <c r="G123" s="849"/>
      <c r="H123" s="897"/>
      <c r="I123" s="897"/>
      <c r="J123" s="897"/>
      <c r="K123" s="897"/>
      <c r="L123" s="897"/>
      <c r="M123" s="849"/>
      <c r="N123" s="896"/>
      <c r="O123" s="964"/>
      <c r="P123" s="964"/>
      <c r="Q123" s="964"/>
      <c r="R123" s="964"/>
      <c r="S123" s="849"/>
      <c r="T123" s="849"/>
      <c r="U123" s="849"/>
      <c r="V123" s="849"/>
      <c r="W123" s="849"/>
      <c r="X123" s="849"/>
      <c r="Y123" s="1007"/>
      <c r="Z123" s="852"/>
      <c r="AA123" s="855"/>
      <c r="AB123" s="852"/>
      <c r="AC123" s="852"/>
      <c r="AD123" s="852"/>
    </row>
    <row customHeight="1" ht="9">
      <c r="A124" s="851"/>
      <c r="B124" s="851"/>
      <c r="C124" s="849"/>
      <c r="D124" s="849"/>
      <c r="E124" s="849"/>
      <c r="F124" s="849"/>
      <c r="G124" s="849"/>
      <c r="H124" s="897"/>
      <c r="I124" s="897"/>
      <c r="J124" s="897"/>
      <c r="K124" s="897"/>
      <c r="L124" s="897"/>
      <c r="M124" s="849"/>
      <c r="N124" s="896"/>
      <c r="O124" s="964"/>
      <c r="P124" s="964"/>
      <c r="Q124" s="964"/>
      <c r="R124" s="964"/>
      <c r="S124" s="849"/>
      <c r="T124" s="849"/>
      <c r="U124" s="849"/>
      <c r="V124" s="849"/>
      <c r="W124" s="849"/>
      <c r="X124" s="849"/>
      <c r="Y124" s="1007"/>
      <c r="Z124" s="852"/>
      <c r="AA124" s="855"/>
      <c r="AB124" s="852"/>
      <c r="AC124" s="852"/>
      <c r="AD124" s="852"/>
    </row>
    <row customHeight="1" ht="9">
      <c r="A125" s="851"/>
      <c r="B125" s="851"/>
      <c r="C125" s="849"/>
      <c r="D125" s="849"/>
      <c r="E125" s="849"/>
      <c r="F125" s="849"/>
      <c r="G125" s="849"/>
      <c r="H125" s="897"/>
      <c r="I125" s="897"/>
      <c r="J125" s="897"/>
      <c r="K125" s="897"/>
      <c r="L125" s="897"/>
      <c r="M125" s="849"/>
      <c r="N125" s="896"/>
      <c r="O125" s="964"/>
      <c r="P125" s="964"/>
      <c r="Q125" s="964"/>
      <c r="R125" s="964"/>
      <c r="S125" s="849"/>
      <c r="T125" s="849"/>
      <c r="U125" s="849"/>
      <c r="V125" s="849"/>
      <c r="W125" s="849"/>
      <c r="X125" s="849"/>
      <c r="Y125" s="1007"/>
      <c r="Z125" s="852"/>
      <c r="AA125" s="855"/>
      <c r="AB125" s="852"/>
      <c r="AC125" s="852"/>
      <c r="AD125" s="852"/>
    </row>
    <row customHeight="1" ht="9">
      <c r="A126" s="851"/>
      <c r="B126" s="851"/>
      <c r="C126" s="849"/>
      <c r="D126" s="849"/>
      <c r="E126" s="849"/>
      <c r="F126" s="849"/>
      <c r="G126" s="849"/>
      <c r="H126" s="897"/>
      <c r="I126" s="897"/>
      <c r="J126" s="897"/>
      <c r="K126" s="897"/>
      <c r="L126" s="897"/>
      <c r="M126" s="849"/>
      <c r="N126" s="896"/>
      <c r="O126" s="964"/>
      <c r="P126" s="964"/>
      <c r="Q126" s="964"/>
      <c r="R126" s="964"/>
      <c r="S126" s="849"/>
      <c r="T126" s="849"/>
      <c r="U126" s="849"/>
      <c r="V126" s="849"/>
      <c r="W126" s="849"/>
      <c r="X126" s="849"/>
      <c r="Y126" s="1007"/>
      <c r="Z126" s="852"/>
      <c r="AA126" s="855"/>
      <c r="AB126" s="852"/>
      <c r="AC126" s="852"/>
      <c r="AD126" s="852"/>
    </row>
    <row customHeight="1" ht="9">
      <c r="A127" s="851"/>
      <c r="B127" s="851"/>
      <c r="C127" s="849"/>
      <c r="D127" s="849"/>
      <c r="E127" s="849"/>
      <c r="F127" s="849"/>
      <c r="G127" s="849"/>
      <c r="H127" s="897"/>
      <c r="I127" s="897"/>
      <c r="J127" s="897"/>
      <c r="K127" s="897"/>
      <c r="L127" s="897"/>
      <c r="M127" s="849"/>
      <c r="N127" s="896"/>
      <c r="O127" s="964"/>
      <c r="P127" s="964"/>
      <c r="Q127" s="964"/>
      <c r="R127" s="964"/>
      <c r="S127" s="849"/>
      <c r="T127" s="849"/>
      <c r="U127" s="849"/>
      <c r="V127" s="849"/>
      <c r="W127" s="849"/>
      <c r="X127" s="849"/>
      <c r="Y127" s="1007"/>
      <c r="Z127" s="852"/>
      <c r="AA127" s="855"/>
      <c r="AB127" s="852"/>
      <c r="AC127" s="852"/>
      <c r="AD127" s="852"/>
    </row>
    <row customHeight="1" ht="9">
      <c r="A128" s="851"/>
      <c r="B128" s="851"/>
      <c r="C128" s="849"/>
      <c r="D128" s="849"/>
      <c r="E128" s="849"/>
      <c r="F128" s="849"/>
      <c r="G128" s="849"/>
      <c r="H128" s="897"/>
      <c r="I128" s="897"/>
      <c r="J128" s="897"/>
      <c r="K128" s="897"/>
      <c r="L128" s="897"/>
      <c r="M128" s="849"/>
      <c r="N128" s="896"/>
      <c r="O128" s="964"/>
      <c r="P128" s="964"/>
      <c r="Q128" s="964"/>
      <c r="R128" s="964"/>
      <c r="S128" s="849"/>
      <c r="T128" s="849"/>
      <c r="U128" s="849"/>
      <c r="V128" s="849"/>
      <c r="W128" s="849"/>
      <c r="X128" s="849"/>
      <c r="Y128" s="1007"/>
      <c r="Z128" s="852"/>
      <c r="AA128" s="855"/>
      <c r="AB128" s="852"/>
      <c r="AC128" s="852"/>
      <c r="AD128" s="852"/>
    </row>
    <row customHeight="1" ht="9">
      <c r="A129" s="851"/>
      <c r="B129" s="851"/>
      <c r="C129" s="849"/>
      <c r="D129" s="849"/>
      <c r="E129" s="849"/>
      <c r="F129" s="849"/>
      <c r="G129" s="849"/>
      <c r="H129" s="897"/>
      <c r="I129" s="897"/>
      <c r="J129" s="897"/>
      <c r="K129" s="897"/>
      <c r="L129" s="897"/>
      <c r="M129" s="849"/>
      <c r="N129" s="896"/>
      <c r="O129" s="964"/>
      <c r="P129" s="964"/>
      <c r="Q129" s="964"/>
      <c r="R129" s="964"/>
      <c r="S129" s="849"/>
      <c r="T129" s="849"/>
      <c r="U129" s="849"/>
      <c r="V129" s="849"/>
      <c r="W129" s="849"/>
      <c r="X129" s="849"/>
      <c r="Y129" s="1007"/>
      <c r="Z129" s="852"/>
      <c r="AA129" s="855"/>
      <c r="AB129" s="852"/>
      <c r="AC129" s="852"/>
      <c r="AD129" s="852"/>
    </row>
    <row customHeight="1" ht="9">
      <c r="A130" s="851"/>
      <c r="B130" s="851"/>
      <c r="C130" s="849"/>
      <c r="D130" s="849"/>
      <c r="E130" s="849"/>
      <c r="F130" s="849"/>
      <c r="G130" s="849"/>
      <c r="H130" s="897"/>
      <c r="I130" s="897"/>
      <c r="J130" s="897"/>
      <c r="K130" s="897"/>
      <c r="L130" s="897"/>
      <c r="M130" s="849"/>
      <c r="N130" s="896"/>
      <c r="O130" s="966"/>
      <c r="P130" s="966"/>
      <c r="Q130" s="966"/>
      <c r="R130" s="966"/>
      <c r="S130" s="849"/>
      <c r="T130" s="849"/>
      <c r="U130" s="849"/>
      <c r="V130" s="849"/>
      <c r="W130" s="849"/>
      <c r="X130" s="849"/>
      <c r="Y130" s="1007"/>
      <c r="Z130" s="852"/>
      <c r="AA130" s="855"/>
      <c r="AB130" s="852"/>
      <c r="AC130" s="852"/>
      <c r="AD130" s="852"/>
    </row>
    <row customHeight="1" ht="9">
      <c r="A131" s="851"/>
      <c r="B131" s="851"/>
      <c r="C131" s="849"/>
      <c r="D131" s="849"/>
      <c r="E131" s="849"/>
      <c r="F131" s="849"/>
      <c r="G131" s="849"/>
      <c r="H131" s="897"/>
      <c r="I131" s="897"/>
      <c r="J131" s="897"/>
      <c r="K131" s="897"/>
      <c r="L131" s="897"/>
      <c r="M131" s="849"/>
      <c r="N131" s="896"/>
      <c r="O131" s="967"/>
      <c r="P131" s="967"/>
      <c r="Q131" s="967"/>
      <c r="R131" s="967"/>
      <c r="S131" s="849"/>
      <c r="T131" s="849"/>
      <c r="U131" s="849"/>
      <c r="V131" s="849"/>
      <c r="W131" s="849"/>
      <c r="X131" s="849"/>
      <c r="Y131" s="1007"/>
      <c r="Z131" s="852"/>
      <c r="AA131" s="855"/>
      <c r="AB131" s="852"/>
      <c r="AC131" s="852"/>
      <c r="AD131" s="852"/>
    </row>
    <row customHeight="1" ht="9">
      <c r="A132" s="851"/>
      <c r="B132" s="851"/>
      <c r="C132" s="849"/>
      <c r="D132" s="849"/>
      <c r="E132" s="849"/>
      <c r="F132" s="849"/>
      <c r="G132" s="849"/>
      <c r="H132" s="897"/>
      <c r="I132" s="897"/>
      <c r="J132" s="897"/>
      <c r="K132" s="897"/>
      <c r="L132" s="897"/>
      <c r="M132" s="849"/>
      <c r="N132" s="896"/>
      <c r="O132" s="966"/>
      <c r="P132" s="966"/>
      <c r="Q132" s="966"/>
      <c r="R132" s="966"/>
      <c r="S132" s="849"/>
      <c r="T132" s="849"/>
      <c r="U132" s="849"/>
      <c r="V132" s="849"/>
      <c r="W132" s="849"/>
      <c r="X132" s="849"/>
      <c r="Y132" s="1007"/>
      <c r="Z132" s="852"/>
      <c r="AA132" s="855"/>
      <c r="AB132" s="852"/>
      <c r="AC132" s="852"/>
      <c r="AD132" s="852"/>
    </row>
    <row customHeight="1" ht="9">
      <c r="A133" s="851"/>
      <c r="B133" s="851"/>
      <c r="C133" s="849"/>
      <c r="D133" s="849"/>
      <c r="E133" s="849"/>
      <c r="F133" s="849"/>
      <c r="G133" s="849"/>
      <c r="H133" s="897"/>
      <c r="I133" s="897"/>
      <c r="J133" s="897"/>
      <c r="K133" s="897"/>
      <c r="L133" s="897"/>
      <c r="M133" s="849"/>
      <c r="N133" s="896"/>
      <c r="O133" s="967"/>
      <c r="P133" s="967"/>
      <c r="Q133" s="967"/>
      <c r="R133" s="967"/>
      <c r="S133" s="849"/>
      <c r="T133" s="849"/>
      <c r="U133" s="849"/>
      <c r="V133" s="849"/>
      <c r="W133" s="849"/>
      <c r="X133" s="849"/>
      <c r="Y133" s="1007"/>
      <c r="Z133" s="852"/>
      <c r="AA133" s="855"/>
      <c r="AB133" s="852"/>
      <c r="AC133" s="852"/>
      <c r="AD133" s="852"/>
    </row>
    <row customHeight="1" ht="9">
      <c r="A134" s="851"/>
      <c r="B134" s="851"/>
      <c r="C134" s="849"/>
      <c r="D134" s="849"/>
      <c r="E134" s="849"/>
      <c r="F134" s="849"/>
      <c r="G134" s="849"/>
      <c r="H134" s="897"/>
      <c r="I134" s="897"/>
      <c r="J134" s="897"/>
      <c r="K134" s="897"/>
      <c r="L134" s="897"/>
      <c r="M134" s="849"/>
      <c r="N134" s="896"/>
      <c r="O134" s="964"/>
      <c r="P134" s="964"/>
      <c r="Q134" s="964"/>
      <c r="R134" s="964"/>
      <c r="S134" s="849"/>
      <c r="T134" s="849"/>
      <c r="U134" s="849"/>
      <c r="V134" s="849"/>
      <c r="W134" s="849"/>
      <c r="X134" s="849"/>
      <c r="Y134" s="1007"/>
      <c r="Z134" s="852"/>
      <c r="AA134" s="855"/>
      <c r="AB134" s="852"/>
      <c r="AC134" s="852"/>
      <c r="AD134" s="852"/>
    </row>
    <row customHeight="1" ht="9">
      <c r="A135" s="851"/>
      <c r="B135" s="851"/>
      <c r="C135" s="849"/>
      <c r="D135" s="849"/>
      <c r="E135" s="849"/>
      <c r="F135" s="849"/>
      <c r="G135" s="849"/>
      <c r="H135" s="897"/>
      <c r="I135" s="897"/>
      <c r="J135" s="897"/>
      <c r="K135" s="897"/>
      <c r="L135" s="897"/>
      <c r="M135" s="849"/>
      <c r="N135" s="896"/>
      <c r="O135" s="964"/>
      <c r="P135" s="964"/>
      <c r="Q135" s="964"/>
      <c r="R135" s="964"/>
      <c r="S135" s="849"/>
      <c r="T135" s="849"/>
      <c r="U135" s="849"/>
      <c r="V135" s="849"/>
      <c r="W135" s="849"/>
      <c r="X135" s="849"/>
      <c r="Y135" s="1007"/>
      <c r="Z135" s="852"/>
      <c r="AA135" s="855"/>
      <c r="AB135" s="852"/>
      <c r="AC135" s="852"/>
      <c r="AD135" s="852"/>
    </row>
    <row customHeight="1" ht="9">
      <c r="A136" s="851"/>
      <c r="B136" s="851"/>
      <c r="C136" s="849"/>
      <c r="D136" s="849"/>
      <c r="E136" s="849"/>
      <c r="F136" s="849"/>
      <c r="G136" s="849"/>
      <c r="H136" s="897"/>
      <c r="I136" s="897"/>
      <c r="J136" s="897"/>
      <c r="K136" s="897"/>
      <c r="L136" s="897"/>
      <c r="M136" s="849"/>
      <c r="N136" s="896"/>
      <c r="O136" s="964"/>
      <c r="P136" s="964"/>
      <c r="Q136" s="964"/>
      <c r="R136" s="964"/>
      <c r="S136" s="849"/>
      <c r="T136" s="849"/>
      <c r="U136" s="849"/>
      <c r="V136" s="849"/>
      <c r="W136" s="849"/>
      <c r="X136" s="849"/>
      <c r="Y136" s="1007"/>
      <c r="Z136" s="852"/>
      <c r="AA136" s="855"/>
      <c r="AB136" s="852"/>
      <c r="AC136" s="852"/>
      <c r="AD136" s="852"/>
    </row>
    <row customHeight="1" ht="9">
      <c r="A137" s="851"/>
      <c r="B137" s="851"/>
      <c r="C137" s="849"/>
      <c r="D137" s="849"/>
      <c r="E137" s="849"/>
      <c r="F137" s="849"/>
      <c r="G137" s="849"/>
      <c r="H137" s="897"/>
      <c r="I137" s="897"/>
      <c r="J137" s="897"/>
      <c r="K137" s="897"/>
      <c r="L137" s="897"/>
      <c r="M137" s="849"/>
      <c r="N137" s="896"/>
      <c r="O137" s="968"/>
      <c r="P137" s="968"/>
      <c r="Q137" s="968"/>
      <c r="R137" s="968"/>
      <c r="S137" s="849"/>
      <c r="T137" s="849"/>
      <c r="U137" s="849"/>
      <c r="V137" s="849"/>
      <c r="W137" s="849"/>
      <c r="X137" s="849"/>
      <c r="Y137" s="1007"/>
      <c r="Z137" s="852"/>
      <c r="AA137" s="855"/>
      <c r="AB137" s="852"/>
      <c r="AC137" s="852"/>
      <c r="AD137" s="852"/>
    </row>
    <row customHeight="1" ht="9">
      <c r="A138" s="851"/>
      <c r="B138" s="851"/>
      <c r="C138" s="849"/>
      <c r="D138" s="849"/>
      <c r="E138" s="849"/>
      <c r="F138" s="849"/>
      <c r="G138" s="849"/>
      <c r="H138" s="897"/>
      <c r="I138" s="897"/>
      <c r="J138" s="897"/>
      <c r="K138" s="897"/>
      <c r="L138" s="897"/>
      <c r="M138" s="849"/>
      <c r="N138" s="896"/>
      <c r="O138" s="965"/>
      <c r="P138" s="965"/>
      <c r="Q138" s="965"/>
      <c r="R138" s="965"/>
      <c r="S138" s="849"/>
      <c r="T138" s="849"/>
      <c r="U138" s="849"/>
      <c r="V138" s="849"/>
      <c r="W138" s="849"/>
      <c r="X138" s="849"/>
      <c r="Y138" s="1007"/>
      <c r="Z138" s="852"/>
      <c r="AA138" s="855"/>
      <c r="AB138" s="852"/>
      <c r="AC138" s="852"/>
      <c r="AD138" s="852"/>
    </row>
    <row customHeight="1" ht="9">
      <c r="A139" s="851"/>
      <c r="B139" s="851"/>
      <c r="C139" s="849"/>
      <c r="D139" s="849"/>
      <c r="E139" s="849"/>
      <c r="F139" s="849"/>
      <c r="G139" s="849"/>
      <c r="H139" s="897"/>
      <c r="I139" s="897"/>
      <c r="J139" s="897"/>
      <c r="K139" s="897"/>
      <c r="L139" s="897"/>
      <c r="M139" s="849"/>
      <c r="N139" s="896"/>
      <c r="O139" s="849"/>
      <c r="P139" s="849"/>
      <c r="Q139" s="849"/>
      <c r="R139" s="849"/>
      <c r="S139" s="849"/>
      <c r="T139" s="849"/>
      <c r="U139" s="849"/>
      <c r="V139" s="849"/>
      <c r="W139" s="849"/>
      <c r="X139" s="849"/>
      <c r="Y139" s="1007"/>
      <c r="Z139" s="852"/>
      <c r="AA139" s="855"/>
      <c r="AB139" s="852"/>
      <c r="AC139" s="852"/>
      <c r="AD139" s="852"/>
    </row>
    <row customHeight="1" ht="9">
      <c r="A140" s="851"/>
      <c r="B140" s="851"/>
      <c r="C140" s="849"/>
      <c r="D140" s="849"/>
      <c r="E140" s="849"/>
      <c r="F140" s="849"/>
      <c r="G140" s="849"/>
      <c r="H140" s="897"/>
      <c r="I140" s="897"/>
      <c r="J140" s="897"/>
      <c r="K140" s="897"/>
      <c r="L140" s="897"/>
      <c r="M140" s="849"/>
      <c r="N140" s="896"/>
      <c r="O140" s="849"/>
      <c r="P140" s="849"/>
      <c r="Q140" s="849"/>
      <c r="R140" s="849"/>
      <c r="S140" s="849"/>
      <c r="T140" s="849"/>
      <c r="U140" s="849"/>
      <c r="V140" s="849"/>
      <c r="W140" s="849"/>
      <c r="X140" s="849"/>
      <c r="Y140" s="1007"/>
      <c r="Z140" s="852"/>
      <c r="AA140" s="855"/>
      <c r="AB140" s="852"/>
      <c r="AC140" s="852"/>
      <c r="AD140" s="852"/>
    </row>
    <row customHeight="1" ht="9">
      <c r="A141" s="851"/>
      <c r="B141" s="851"/>
      <c r="C141" s="849"/>
      <c r="D141" s="849"/>
      <c r="E141" s="849"/>
      <c r="F141" s="849"/>
      <c r="G141" s="849"/>
      <c r="H141" s="897"/>
      <c r="I141" s="897"/>
      <c r="J141" s="897"/>
      <c r="K141" s="897"/>
      <c r="L141" s="897"/>
      <c r="M141" s="849"/>
      <c r="N141" s="896"/>
      <c r="O141" s="849"/>
      <c r="P141" s="849"/>
      <c r="Q141" s="849"/>
      <c r="R141" s="849"/>
      <c r="S141" s="849"/>
      <c r="T141" s="849"/>
      <c r="U141" s="849"/>
      <c r="V141" s="849"/>
      <c r="W141" s="849"/>
      <c r="X141" s="849"/>
      <c r="Y141" s="1007"/>
      <c r="Z141" s="852"/>
      <c r="AA141" s="855"/>
      <c r="AB141" s="852"/>
      <c r="AC141" s="852"/>
      <c r="AD141" s="852"/>
    </row>
    <row customHeight="1" ht="9">
      <c r="A142" s="851"/>
      <c r="B142" s="851"/>
      <c r="C142" s="849"/>
      <c r="D142" s="849"/>
      <c r="E142" s="849"/>
      <c r="F142" s="849"/>
      <c r="G142" s="849"/>
      <c r="H142" s="897"/>
      <c r="I142" s="897"/>
      <c r="J142" s="897"/>
      <c r="K142" s="897"/>
      <c r="L142" s="897"/>
      <c r="M142" s="849"/>
      <c r="N142" s="896"/>
      <c r="O142" s="849"/>
      <c r="P142" s="849"/>
      <c r="Q142" s="849"/>
      <c r="R142" s="849"/>
      <c r="S142" s="849"/>
      <c r="T142" s="849"/>
      <c r="U142" s="849"/>
      <c r="V142" s="849"/>
      <c r="W142" s="849"/>
      <c r="X142" s="849"/>
      <c r="Y142" s="1007"/>
      <c r="Z142" s="852"/>
      <c r="AA142" s="855"/>
      <c r="AB142" s="852"/>
      <c r="AC142" s="852"/>
      <c r="AD142" s="852"/>
    </row>
    <row customHeight="1" ht="9">
      <c r="A143" s="851"/>
      <c r="B143" s="851"/>
      <c r="C143" s="849"/>
      <c r="D143" s="849"/>
      <c r="E143" s="849"/>
      <c r="F143" s="849"/>
      <c r="G143" s="849"/>
      <c r="H143" s="897"/>
      <c r="I143" s="897"/>
      <c r="J143" s="897"/>
      <c r="K143" s="897"/>
      <c r="L143" s="897"/>
      <c r="M143" s="849"/>
      <c r="N143" s="896"/>
      <c r="O143" s="849"/>
      <c r="P143" s="849"/>
      <c r="Q143" s="849"/>
      <c r="R143" s="849"/>
      <c r="S143" s="849"/>
      <c r="T143" s="849"/>
      <c r="U143" s="849"/>
      <c r="V143" s="849"/>
      <c r="W143" s="849"/>
      <c r="X143" s="849"/>
      <c r="Y143" s="1007"/>
      <c r="Z143" s="852"/>
      <c r="AA143" s="855"/>
      <c r="AB143" s="852"/>
      <c r="AC143" s="852"/>
      <c r="AD143" s="852"/>
    </row>
    <row customHeight="1" ht="9">
      <c r="A144" s="851"/>
      <c r="B144" s="851"/>
      <c r="C144" s="849"/>
      <c r="D144" s="849"/>
      <c r="E144" s="849"/>
      <c r="F144" s="849"/>
      <c r="G144" s="849"/>
      <c r="H144" s="897"/>
      <c r="I144" s="897"/>
      <c r="J144" s="897"/>
      <c r="K144" s="897"/>
      <c r="L144" s="897"/>
      <c r="M144" s="849"/>
      <c r="N144" s="896"/>
      <c r="O144" s="849"/>
      <c r="P144" s="849"/>
      <c r="Q144" s="849"/>
      <c r="R144" s="849"/>
      <c r="S144" s="849"/>
      <c r="T144" s="849"/>
      <c r="U144" s="849"/>
      <c r="V144" s="849"/>
      <c r="W144" s="849"/>
      <c r="X144" s="849"/>
      <c r="Y144" s="1007"/>
      <c r="Z144" s="852"/>
      <c r="AA144" s="855"/>
      <c r="AB144" s="852"/>
      <c r="AC144" s="852"/>
      <c r="AD144" s="852"/>
    </row>
    <row customHeight="1" ht="9">
      <c r="A145" s="851"/>
      <c r="B145" s="851"/>
      <c r="C145" s="849"/>
      <c r="D145" s="849"/>
      <c r="E145" s="849"/>
      <c r="F145" s="849"/>
      <c r="G145" s="849"/>
      <c r="H145" s="897"/>
      <c r="I145" s="897"/>
      <c r="J145" s="897"/>
      <c r="K145" s="897"/>
      <c r="L145" s="897"/>
      <c r="M145" s="849"/>
      <c r="N145" s="896"/>
      <c r="O145" s="849"/>
      <c r="P145" s="849"/>
      <c r="Q145" s="849"/>
      <c r="R145" s="849"/>
      <c r="S145" s="849"/>
      <c r="T145" s="849"/>
      <c r="U145" s="849"/>
      <c r="V145" s="849"/>
      <c r="W145" s="849"/>
      <c r="X145" s="849"/>
      <c r="Y145" s="1007"/>
      <c r="Z145" s="852"/>
      <c r="AA145" s="855"/>
      <c r="AB145" s="852"/>
      <c r="AC145" s="852"/>
      <c r="AD145" s="852"/>
    </row>
    <row customHeight="1" ht="9">
      <c r="A146" s="851"/>
      <c r="B146" s="851"/>
      <c r="C146" s="849"/>
      <c r="D146" s="849"/>
      <c r="E146" s="849"/>
      <c r="F146" s="849"/>
      <c r="G146" s="849"/>
      <c r="H146" s="897"/>
      <c r="I146" s="897"/>
      <c r="J146" s="897"/>
      <c r="K146" s="897"/>
      <c r="L146" s="897"/>
      <c r="M146" s="849"/>
      <c r="N146" s="896"/>
      <c r="O146" s="849"/>
      <c r="P146" s="849"/>
      <c r="Q146" s="849"/>
      <c r="R146" s="849"/>
      <c r="S146" s="849"/>
      <c r="T146" s="849"/>
      <c r="U146" s="849"/>
      <c r="V146" s="849"/>
      <c r="W146" s="849"/>
      <c r="X146" s="849"/>
      <c r="Y146" s="1007"/>
      <c r="Z146" s="852"/>
      <c r="AA146" s="855"/>
      <c r="AB146" s="852"/>
      <c r="AC146" s="852"/>
      <c r="AD146" s="852"/>
    </row>
    <row customHeight="1" ht="9">
      <c r="A147" s="851"/>
      <c r="B147" s="851"/>
      <c r="C147" s="851"/>
      <c r="D147" s="851"/>
      <c r="E147" s="851"/>
      <c r="F147" s="851"/>
      <c r="G147" s="851"/>
      <c r="H147" s="851"/>
      <c r="I147" s="851"/>
      <c r="J147" s="851"/>
      <c r="K147" s="851"/>
      <c r="L147" s="851"/>
      <c r="M147" s="851"/>
      <c r="N147" s="851"/>
      <c r="O147" s="851"/>
      <c r="P147" s="851"/>
      <c r="Q147" s="851"/>
      <c r="R147" s="851"/>
      <c r="S147" s="851"/>
      <c r="T147" s="851"/>
      <c r="U147" s="851"/>
      <c r="V147" s="851"/>
      <c r="W147" s="851"/>
      <c r="X147" s="851"/>
      <c r="Y147" s="851"/>
      <c r="Z147" s="851"/>
      <c r="AA147" s="851"/>
      <c r="AB147" s="851"/>
      <c r="AC147" s="851"/>
      <c r="AD147" s="851"/>
    </row>
    <row customHeight="1" ht="90">
      <c r="A148" s="851" t="s">
        <v>1665</v>
      </c>
      <c r="B148" s="851"/>
      <c r="C148" s="849" t="s">
        <v>2138</v>
      </c>
      <c r="D148" s="849" t="s">
        <v>1567</v>
      </c>
      <c r="E148" s="849" t="s">
        <v>1667</v>
      </c>
      <c r="F148" s="849" t="s">
        <v>2139</v>
      </c>
      <c r="G148" s="849"/>
      <c r="H148" s="849"/>
      <c r="I148" s="970"/>
      <c r="J148" s="970"/>
      <c r="K148" s="970"/>
      <c r="L148" s="970"/>
      <c r="M148" s="899"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4"/>
      <c r="O148" s="849"/>
      <c r="P148" s="850"/>
      <c r="Q148" s="850"/>
      <c r="R148" s="850"/>
      <c r="S148" s="849"/>
      <c r="T148" s="849" t="s">
        <v>2140</v>
      </c>
      <c r="U148" s="850"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50"/>
      <c r="W148" s="850"/>
      <c r="X148" s="849" t="s">
        <v>2141</v>
      </c>
      <c r="Y148" s="1007"/>
      <c r="Z148" s="852"/>
      <c r="AA148" s="855"/>
      <c r="AB148" s="852"/>
      <c r="AC148" s="852"/>
      <c r="AD148" s="852"/>
    </row>
    <row customHeight="1" ht="9">
      <c r="A149" s="851"/>
      <c r="B149" s="851"/>
      <c r="C149" s="851"/>
      <c r="D149" s="851"/>
      <c r="E149" s="851"/>
      <c r="F149" s="851"/>
      <c r="G149" s="851"/>
      <c r="H149" s="851"/>
      <c r="I149" s="851"/>
      <c r="J149" s="851"/>
      <c r="K149" s="851"/>
      <c r="L149" s="851"/>
      <c r="M149" s="851"/>
      <c r="N149" s="851"/>
      <c r="O149" s="851"/>
      <c r="P149" s="851"/>
      <c r="Q149" s="851"/>
      <c r="R149" s="851"/>
      <c r="S149" s="851"/>
      <c r="T149" s="851"/>
      <c r="U149" s="851"/>
      <c r="V149" s="851"/>
      <c r="W149" s="851"/>
      <c r="X149" s="851"/>
      <c r="Y149" s="851"/>
      <c r="Z149" s="851"/>
      <c r="AA149" s="851"/>
      <c r="AB149" s="851"/>
      <c r="AC149" s="851"/>
      <c r="AD149" s="851"/>
    </row>
    <row customHeight="1" ht="9">
      <c r="A150" s="851" t="s">
        <v>1669</v>
      </c>
      <c r="B150" s="851"/>
      <c r="C150" s="849"/>
      <c r="D150" s="849"/>
      <c r="E150" s="849"/>
      <c r="F150" s="849"/>
      <c r="G150" s="849"/>
      <c r="H150" s="849"/>
      <c r="I150" s="849"/>
      <c r="J150" s="849"/>
      <c r="K150" s="849"/>
      <c r="L150" s="849"/>
      <c r="M150" s="849"/>
      <c r="N150" s="849"/>
      <c r="O150" s="849"/>
      <c r="P150" s="849"/>
      <c r="Q150" s="849"/>
      <c r="R150" s="849"/>
      <c r="S150" s="849"/>
      <c r="T150" s="849"/>
      <c r="U150" s="849"/>
      <c r="V150" s="849"/>
      <c r="W150" s="849"/>
      <c r="X150" s="849"/>
      <c r="Y150" s="1007"/>
      <c r="Z150" s="852"/>
      <c r="AA150" s="855"/>
      <c r="AB150" s="852"/>
      <c r="AC150" s="852"/>
      <c r="AD150" s="852"/>
    </row>
    <row customHeight="1" ht="9">
      <c r="A151" s="851"/>
      <c r="B151" s="851"/>
      <c r="C151" s="851"/>
      <c r="D151" s="851"/>
      <c r="E151" s="851"/>
      <c r="F151" s="851"/>
      <c r="G151" s="851"/>
      <c r="H151" s="851"/>
      <c r="I151" s="851"/>
      <c r="J151" s="851"/>
      <c r="K151" s="851"/>
      <c r="L151" s="851"/>
      <c r="M151" s="851"/>
      <c r="N151" s="851"/>
      <c r="O151" s="851"/>
      <c r="P151" s="851"/>
      <c r="Q151" s="851"/>
      <c r="R151" s="851"/>
      <c r="S151" s="851"/>
      <c r="T151" s="851"/>
      <c r="U151" s="851"/>
      <c r="V151" s="851"/>
      <c r="W151" s="851"/>
      <c r="X151" s="851"/>
      <c r="Y151" s="851"/>
      <c r="Z151" s="851"/>
      <c r="AA151" s="851"/>
      <c r="AB151" s="851"/>
      <c r="AC151" s="851"/>
      <c r="AD151" s="851"/>
    </row>
    <row customHeight="1" ht="9">
      <c r="A152" s="851" t="s">
        <v>1672</v>
      </c>
      <c r="B152" s="851"/>
      <c r="C152" s="849"/>
      <c r="D152" s="849"/>
      <c r="E152" s="849"/>
      <c r="F152" s="849"/>
      <c r="G152" s="849"/>
      <c r="H152" s="849"/>
      <c r="I152" s="849"/>
      <c r="J152" s="849"/>
      <c r="K152" s="849"/>
      <c r="L152" s="849"/>
      <c r="M152" s="849"/>
      <c r="N152" s="849"/>
      <c r="O152" s="849"/>
      <c r="P152" s="849"/>
      <c r="Q152" s="849"/>
      <c r="R152" s="849"/>
      <c r="S152" s="849"/>
      <c r="T152" s="849"/>
      <c r="U152" s="849"/>
      <c r="V152" s="849"/>
      <c r="W152" s="849"/>
      <c r="X152" s="849"/>
      <c r="Y152" s="1007"/>
      <c r="Z152" s="852"/>
      <c r="AA152" s="855"/>
      <c r="AB152" s="852"/>
      <c r="AC152" s="852"/>
      <c r="AD152" s="852"/>
    </row>
    <row customHeight="1" ht="9">
      <c r="A153" s="851"/>
      <c r="B153" s="851"/>
      <c r="C153" s="851"/>
      <c r="D153" s="851"/>
      <c r="E153" s="851"/>
      <c r="F153" s="851"/>
      <c r="G153" s="851"/>
      <c r="H153" s="851"/>
      <c r="I153" s="851"/>
      <c r="J153" s="851"/>
      <c r="K153" s="851"/>
      <c r="L153" s="851"/>
      <c r="M153" s="851"/>
      <c r="N153" s="851"/>
      <c r="O153" s="851"/>
      <c r="P153" s="851"/>
      <c r="Q153" s="851"/>
      <c r="R153" s="851"/>
      <c r="S153" s="851"/>
      <c r="T153" s="851"/>
      <c r="U153" s="851"/>
      <c r="V153" s="851"/>
      <c r="W153" s="851"/>
      <c r="X153" s="851"/>
      <c r="Y153" s="851"/>
      <c r="Z153" s="851"/>
      <c r="AA153" s="851"/>
      <c r="AB153" s="851"/>
      <c r="AC153" s="851"/>
      <c r="AD153" s="851"/>
    </row>
    <row customHeight="1" ht="9">
      <c r="A154" s="851" t="s">
        <v>1677</v>
      </c>
      <c r="B154" s="851"/>
      <c r="C154" s="849"/>
      <c r="D154" s="849"/>
      <c r="E154" s="849"/>
      <c r="F154" s="849"/>
      <c r="G154" s="849"/>
      <c r="H154" s="849"/>
      <c r="I154" s="849"/>
      <c r="J154" s="849"/>
      <c r="K154" s="849"/>
      <c r="L154" s="849"/>
      <c r="M154" s="849"/>
      <c r="N154" s="849"/>
      <c r="O154" s="849"/>
      <c r="P154" s="849"/>
      <c r="Q154" s="849"/>
      <c r="R154" s="849"/>
      <c r="S154" s="849"/>
      <c r="T154" s="849"/>
      <c r="U154" s="849"/>
      <c r="V154" s="849"/>
      <c r="W154" s="849"/>
      <c r="X154" s="849"/>
      <c r="Y154" s="1007"/>
      <c r="Z154" s="852"/>
      <c r="AA154" s="855"/>
      <c r="AB154" s="852"/>
      <c r="AC154" s="852"/>
      <c r="AD154" s="852"/>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DD58B8-D3C8-9763-CB4C-D47DCEAF2493}"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3293" width="10.57421875" hidden="1"/>
    <col min="2" max="2" style="3293" width="11.00390625" hidden="1" customWidth="1"/>
    <col min="3" max="3" style="3293" width="10.57421875" hidden="1"/>
    <col min="4" max="4" style="3293" width="11.8515625" hidden="1" customWidth="1"/>
    <col min="5" max="5" style="3293" width="12.28125" hidden="1" customWidth="1"/>
    <col min="6" max="8" style="3295" width="12.28125" hidden="1" customWidth="1"/>
    <col min="9" max="9" style="5277" width="3.7109375" customWidth="1"/>
    <col min="10" max="11" style="3372" width="3.7109375" customWidth="1"/>
    <col min="12" max="12" style="3373" width="12.7109375" customWidth="1"/>
    <col min="13" max="13" style="2941" width="32.00390625" customWidth="1"/>
    <col min="14" max="14" style="2941" width="1.7109375" customWidth="1"/>
    <col min="15" max="18" style="2941" width="24.7109375" customWidth="1"/>
    <col min="19" max="19" style="2941" width="11.7109375" customWidth="1"/>
    <col min="20" max="20" style="2941" width="3.7109375" customWidth="1"/>
    <col min="21" max="21" style="2941" width="11.7109375" customWidth="1"/>
    <col min="22" max="22" style="2941" width="8.57421875" customWidth="1"/>
    <col min="23" max="23" style="2941" width="4.7109375" customWidth="1"/>
    <col min="24" max="24" style="2941" width="115.7109375" customWidth="1"/>
    <col min="25" max="26" style="2612" width="10.57421875"/>
    <col min="27" max="27" style="2612" width="11.140625" customWidth="1"/>
    <col min="28" max="29" style="2612" width="10.57421875"/>
  </cols>
  <sheetData>
    <row customHeight="1" ht="14.25" hidden="1">
      <c r="R1" s="323"/>
      <c r="S1" s="323"/>
    </row>
    <row customHeight="1" ht="14.25" hidden="1">
      <c r="V2" s="323"/>
    </row>
    <row customHeight="1" ht="14.25" hidden="1"/>
    <row customHeight="1" ht="14.25">
      <c r="J4" s="377"/>
      <c r="K4" s="377"/>
      <c r="L4" s="1305"/>
      <c r="M4" s="361"/>
      <c r="N4" s="361"/>
      <c r="O4" s="515"/>
      <c r="P4" s="515"/>
      <c r="Q4" s="515"/>
      <c r="R4" s="515"/>
      <c r="S4" s="515"/>
      <c r="T4" s="515"/>
      <c r="U4" s="515"/>
      <c r="V4" s="515"/>
    </row>
    <row customHeight="1" ht="64.5">
      <c r="J5" s="377"/>
      <c r="K5" s="377"/>
      <c r="L5" s="2441" t="s">
        <v>2142</v>
      </c>
      <c r="M5" s="2441"/>
      <c r="N5" s="2441"/>
      <c r="O5" s="2441"/>
      <c r="P5" s="2441"/>
      <c r="Q5" s="2441"/>
      <c r="R5" s="2441"/>
      <c r="S5" s="2441"/>
      <c r="T5" s="2441"/>
      <c r="U5" s="2441"/>
      <c r="V5" s="1261"/>
    </row>
    <row customHeight="1" ht="14.25">
      <c r="J6" s="377"/>
      <c r="K6" s="377"/>
      <c r="L6" s="2442" t="str">
        <f>IF(org=0,"Не определено",org)</f>
        <v>МУП г. Азова "Теплоэнерго"</v>
      </c>
      <c r="M6" s="2442"/>
      <c r="N6" s="2442"/>
      <c r="O6" s="2442"/>
      <c r="P6" s="2442"/>
      <c r="Q6" s="2442"/>
      <c r="R6" s="2442"/>
      <c r="S6" s="2442"/>
      <c r="T6" s="2442"/>
      <c r="U6" s="2442"/>
      <c r="V6" s="1261"/>
    </row>
    <row customHeight="1" ht="14.25">
      <c r="J7" s="377"/>
      <c r="K7" s="377"/>
      <c r="L7" s="1305"/>
      <c r="M7" s="361"/>
      <c r="N7" s="361"/>
      <c r="O7" s="316"/>
      <c r="P7" s="316"/>
      <c r="Q7" s="316"/>
      <c r="R7" s="316"/>
      <c r="S7" s="316"/>
      <c r="T7" s="316"/>
      <c r="U7" s="316"/>
      <c r="V7" s="316"/>
      <c r="W7" s="515"/>
    </row>
    <row s="3306" customFormat="1" customHeight="1" ht="45">
      <c r="A8" s="1398"/>
      <c r="B8" s="1398"/>
      <c r="C8" s="1398"/>
      <c r="D8" s="1398"/>
      <c r="E8" s="1398"/>
      <c r="F8" s="1398"/>
      <c r="G8" s="1398"/>
      <c r="H8" s="1398"/>
      <c r="L8" s="1306"/>
      <c r="M8" s="283" t="s">
        <v>38</v>
      </c>
      <c r="N8" s="292"/>
      <c r="O8" s="2100" t="str">
        <f>IF(TITLE_NAME_OR_PR_CHANGE="",IF(TITLE_NAME_OR_PR="","",TITLE_NAME_OR_PR),TITLE_NAME_OR_PR_CHANGE)</f>
        <v>Региональная служба по тарифам Ростовской области</v>
      </c>
      <c r="P8" s="2100"/>
      <c r="Q8" s="2100"/>
      <c r="R8" s="2100"/>
      <c r="S8" s="2100"/>
      <c r="T8" s="2100"/>
      <c r="U8" s="2100"/>
      <c r="V8" s="322"/>
      <c r="W8" s="322"/>
      <c r="X8" s="268"/>
      <c r="Y8" s="368"/>
      <c r="Z8" s="368"/>
      <c r="AA8" s="368"/>
      <c r="AB8" s="368"/>
      <c r="AC8" s="368"/>
    </row>
    <row s="3306" customFormat="1" customHeight="1" ht="22.5">
      <c r="A9" s="1398"/>
      <c r="B9" s="1398"/>
      <c r="C9" s="1398"/>
      <c r="D9" s="1398"/>
      <c r="E9" s="1398"/>
      <c r="F9" s="1398"/>
      <c r="G9" s="1398"/>
      <c r="H9" s="1398"/>
      <c r="L9" s="1306"/>
      <c r="M9" s="283" t="s">
        <v>413</v>
      </c>
      <c r="N9" s="292"/>
      <c r="O9" s="2100" t="str">
        <f>IF(TITLE_DATE_CHANGE_PERIOD="",IF(TITLE_DATE_PR="","",TITLE_DATE_PR),TITLE_DATE_CHANGE_PERIOD)</f>
        <v>45245.61800925926</v>
      </c>
      <c r="P9" s="2100"/>
      <c r="Q9" s="2100"/>
      <c r="R9" s="2100"/>
      <c r="S9" s="2100"/>
      <c r="T9" s="2100"/>
      <c r="U9" s="2100"/>
      <c r="V9" s="322"/>
      <c r="W9" s="322"/>
      <c r="X9" s="268"/>
      <c r="Y9" s="368"/>
      <c r="Z9" s="368"/>
      <c r="AA9" s="368"/>
      <c r="AB9" s="368"/>
      <c r="AC9" s="368"/>
    </row>
    <row s="3306" customFormat="1" customHeight="1" ht="22.5">
      <c r="A10" s="1398"/>
      <c r="B10" s="1398"/>
      <c r="C10" s="1398"/>
      <c r="D10" s="1398"/>
      <c r="E10" s="1398"/>
      <c r="F10" s="1398"/>
      <c r="G10" s="1398"/>
      <c r="H10" s="1398"/>
      <c r="L10" s="1269"/>
      <c r="M10" s="283" t="s">
        <v>414</v>
      </c>
      <c r="N10" s="292"/>
      <c r="O10" s="2100" t="str">
        <f>IF(TITLE_NUMBER_PR_CHANGE="",IF(TITLE_NUMBER_PR="","",TITLE_NUMBER_PR),TITLE_NUMBER_PR_CHANGE)</f>
        <v>550</v>
      </c>
      <c r="P10" s="2100"/>
      <c r="Q10" s="2100"/>
      <c r="R10" s="2100"/>
      <c r="S10" s="2100"/>
      <c r="T10" s="2100"/>
      <c r="U10" s="2100"/>
      <c r="V10" s="322"/>
      <c r="W10" s="322"/>
      <c r="X10" s="268"/>
      <c r="Y10" s="368"/>
      <c r="Z10" s="368"/>
      <c r="AA10" s="368"/>
      <c r="AB10" s="368"/>
      <c r="AC10" s="368"/>
    </row>
    <row s="3306" customFormat="1" customHeight="1" ht="22.5">
      <c r="A11" s="1398"/>
      <c r="B11" s="1398"/>
      <c r="C11" s="1398"/>
      <c r="D11" s="1398"/>
      <c r="E11" s="1398"/>
      <c r="F11" s="1398"/>
      <c r="G11" s="1398"/>
      <c r="H11" s="1398"/>
      <c r="L11" s="1269"/>
      <c r="M11" s="283" t="s">
        <v>40</v>
      </c>
      <c r="N11" s="292"/>
      <c r="O11" s="2100" t="str">
        <f>IF(TITLE_IST_PUB_CHANGE="",IF(TITLE_IST_PUB="","",TITLE_IST_PUB),TITLE_IST_PUB_CHANGE)</f>
        <v>https://rst.donland.ru</v>
      </c>
      <c r="P11" s="2100"/>
      <c r="Q11" s="2100"/>
      <c r="R11" s="2100"/>
      <c r="S11" s="2100"/>
      <c r="T11" s="2100"/>
      <c r="U11" s="2100"/>
      <c r="V11" s="322"/>
      <c r="W11" s="322"/>
      <c r="X11" s="268"/>
      <c r="Y11" s="368"/>
      <c r="Z11" s="368"/>
      <c r="AA11" s="368"/>
      <c r="AB11" s="368"/>
      <c r="AC11" s="368"/>
    </row>
    <row s="3306" customFormat="1" customHeight="1" ht="11.25" hidden="1">
      <c r="A12" s="1398"/>
      <c r="B12" s="1398"/>
      <c r="C12" s="1398"/>
      <c r="D12" s="1398"/>
      <c r="E12" s="1398"/>
      <c r="F12" s="1398"/>
      <c r="G12" s="1398"/>
      <c r="H12" s="1398"/>
      <c r="L12" s="2440"/>
      <c r="M12" s="2440"/>
      <c r="N12" s="1317"/>
      <c r="O12" s="322"/>
      <c r="P12" s="322"/>
      <c r="Q12" s="322"/>
      <c r="R12" s="322"/>
      <c r="S12" s="322"/>
      <c r="T12" s="322"/>
      <c r="U12" s="322"/>
      <c r="V12" s="266" t="s">
        <v>417</v>
      </c>
      <c r="Y12" s="368"/>
      <c r="Z12" s="368"/>
      <c r="AA12" s="368"/>
      <c r="AB12" s="368"/>
      <c r="AC12" s="368"/>
    </row>
    <row customHeight="1" ht="14.25">
      <c r="J13" s="377"/>
      <c r="K13" s="377"/>
      <c r="L13" s="1305"/>
      <c r="M13" s="361"/>
      <c r="N13" s="1262"/>
      <c r="O13" s="2124"/>
      <c r="P13" s="2124"/>
      <c r="Q13" s="2124"/>
      <c r="R13" s="2124"/>
      <c r="S13" s="2124"/>
      <c r="T13" s="2124"/>
      <c r="U13" s="2124"/>
      <c r="V13" s="2124"/>
    </row>
    <row customHeight="1" ht="14.25">
      <c r="J14" s="377"/>
      <c r="K14" s="377"/>
      <c r="L14" s="1971" t="s">
        <v>291</v>
      </c>
      <c r="M14" s="1971"/>
      <c r="N14" s="1971"/>
      <c r="O14" s="1971"/>
      <c r="P14" s="1971"/>
      <c r="Q14" s="1971"/>
      <c r="R14" s="1971"/>
      <c r="S14" s="1971"/>
      <c r="T14" s="1971"/>
      <c r="U14" s="1971"/>
      <c r="V14" s="1971"/>
      <c r="W14" s="1971"/>
      <c r="X14" s="1971" t="s">
        <v>292</v>
      </c>
    </row>
    <row customHeight="1" ht="14.25">
      <c r="J15" s="377"/>
      <c r="K15" s="377"/>
      <c r="L15" s="2125" t="s">
        <v>87</v>
      </c>
      <c r="M15" s="2062" t="s">
        <v>418</v>
      </c>
      <c r="N15" s="289"/>
      <c r="O15" s="2126" t="s">
        <v>2143</v>
      </c>
      <c r="P15" s="2127"/>
      <c r="Q15" s="2127"/>
      <c r="R15" s="2127"/>
      <c r="S15" s="2127"/>
      <c r="T15" s="2127"/>
      <c r="U15" s="2128"/>
      <c r="V15" s="2129" t="s">
        <v>420</v>
      </c>
      <c r="W15" s="2132" t="s">
        <v>1063</v>
      </c>
      <c r="X15" s="1971"/>
    </row>
    <row customHeight="1" ht="33.75">
      <c r="J16" s="377"/>
      <c r="K16" s="377"/>
      <c r="L16" s="2125"/>
      <c r="M16" s="2062"/>
      <c r="N16" s="1038"/>
      <c r="O16" s="2135" t="s">
        <v>423</v>
      </c>
      <c r="P16" s="2135" t="s">
        <v>424</v>
      </c>
      <c r="Q16" s="2118" t="s">
        <v>425</v>
      </c>
      <c r="R16" s="2120"/>
      <c r="S16" s="2118" t="s">
        <v>439</v>
      </c>
      <c r="T16" s="2119"/>
      <c r="U16" s="2120"/>
      <c r="V16" s="2130"/>
      <c r="W16" s="2133"/>
      <c r="X16" s="1971"/>
    </row>
    <row customHeight="1" ht="33.75">
      <c r="A17" s="1400" t="s">
        <v>133</v>
      </c>
      <c r="B17" s="1400" t="s">
        <v>134</v>
      </c>
      <c r="C17" s="1400" t="s">
        <v>135</v>
      </c>
      <c r="D17" s="1400" t="s">
        <v>136</v>
      </c>
      <c r="E17" s="1400"/>
      <c r="J17" s="377"/>
      <c r="K17" s="377"/>
      <c r="L17" s="2125"/>
      <c r="M17" s="2062"/>
      <c r="N17" s="290"/>
      <c r="O17" s="2136"/>
      <c r="P17" s="2136"/>
      <c r="Q17" s="1237" t="s">
        <v>434</v>
      </c>
      <c r="R17" s="1237" t="s">
        <v>435</v>
      </c>
      <c r="S17" s="1322" t="s">
        <v>436</v>
      </c>
      <c r="T17" s="2121" t="s">
        <v>437</v>
      </c>
      <c r="U17" s="2122"/>
      <c r="V17" s="2131"/>
      <c r="W17" s="2134"/>
      <c r="X17" s="1971"/>
    </row>
    <row s="2611" customFormat="1" customHeight="1" ht="11.25">
      <c r="A18" s="1400"/>
      <c r="B18" s="1400"/>
      <c r="C18" s="1400"/>
      <c r="D18" s="1400"/>
      <c r="E18" s="1400"/>
      <c r="F18" s="1392"/>
      <c r="G18" s="1392"/>
      <c r="H18" s="1392"/>
      <c r="I18" s="1264"/>
      <c r="J18" s="1265"/>
      <c r="K18" s="1280">
        <v>1</v>
      </c>
      <c r="L18" s="1307" t="s">
        <v>108</v>
      </c>
      <c r="M18" s="1281" t="s">
        <v>109</v>
      </c>
      <c r="N18" s="1263" t="str">
        <f>OFFSET(N18,0,-1)</f>
        <v>2</v>
      </c>
      <c r="O18" s="1319">
        <f>OFFSET(O18,0,-1)+1</f>
        <v>3</v>
      </c>
      <c r="P18" s="1319"/>
      <c r="Q18" s="1319">
        <f>OFFSET(Q18,0,-1)+1</f>
        <v>1</v>
      </c>
      <c r="R18" s="1319">
        <f>OFFSET(R18,0,-1)+1</f>
        <v>2</v>
      </c>
      <c r="S18" s="1319">
        <f>OFFSET(S18,0,-1)+1</f>
        <v>3</v>
      </c>
      <c r="T18" s="2123">
        <f>OFFSET(T18,0,-1)+1</f>
        <v>4</v>
      </c>
      <c r="U18" s="2123"/>
      <c r="V18" s="1319">
        <f>OFFSET(V18,0,-2)+1</f>
        <v>5</v>
      </c>
      <c r="W18" s="1263">
        <f>OFFSET(W18,0,-1)</f>
        <v>5</v>
      </c>
      <c r="X18" s="1319">
        <f>OFFSET(X18,0,-1)+1</f>
        <v>6</v>
      </c>
      <c r="Y18" s="517"/>
      <c r="Z18" s="517"/>
      <c r="AA18" s="517"/>
      <c r="AB18" s="517"/>
      <c r="AC18" s="517"/>
    </row>
    <row customHeight="1" ht="21">
      <c r="A19" s="1393" t="s">
        <v>173</v>
      </c>
      <c r="B19" s="1393" t="s">
        <v>174</v>
      </c>
      <c r="C19" s="1393" t="s">
        <v>175</v>
      </c>
      <c r="D19" s="1393" t="s">
        <v>176</v>
      </c>
      <c r="E19" s="1393"/>
      <c r="F19" s="1395"/>
      <c r="G19" s="1395"/>
      <c r="H19" s="1395"/>
      <c r="I19" s="357"/>
      <c r="J19" s="356"/>
      <c r="K19" s="351"/>
      <c r="L19" s="1323">
        <f>INDEX(PT_DIFFERENTIATION_NUM_NTAR,MATCH(A19,PT_DIFFERENTIATION_NTAR_ID,0))</f>
        <v>0</v>
      </c>
      <c r="M19" s="286" t="s">
        <v>122</v>
      </c>
      <c r="N19" s="288"/>
      <c r="O19" s="2434" t="str">
        <f>INDEX(PT_DIFFERENTIATION_NTAR,MATCH(A19,PT_DIFFERENTIATION_NTAR_ID,0))</f>
        <v/>
      </c>
      <c r="P19" s="2434"/>
      <c r="Q19" s="2434"/>
      <c r="R19" s="2434"/>
      <c r="S19" s="2434"/>
      <c r="T19" s="2434"/>
      <c r="U19" s="2434"/>
      <c r="V19" s="2434"/>
      <c r="W19" s="2434"/>
      <c r="X19" s="1286" t="s">
        <v>389</v>
      </c>
      <c r="Z19" s="506"/>
      <c r="AA19" s="506" t="str">
        <f>IF(M19="","",M19)</f>
        <v>Наименование тарифа</v>
      </c>
      <c r="AB19" s="506"/>
      <c r="AC19" s="506"/>
    </row>
    <row customHeight="1" ht="21">
      <c r="A20" s="1393" t="s">
        <v>173</v>
      </c>
      <c r="B20" s="1393" t="s">
        <v>174</v>
      </c>
      <c r="C20" s="1393" t="s">
        <v>175</v>
      </c>
      <c r="D20" s="1393" t="s">
        <v>176</v>
      </c>
      <c r="E20" s="1393"/>
      <c r="F20" s="1395"/>
      <c r="G20" s="1395"/>
      <c r="H20" s="1395"/>
      <c r="I20" s="1320"/>
      <c r="J20" s="348"/>
      <c r="K20" s="349"/>
      <c r="L20" s="1323" t="str">
        <f>INDEX(PT_DIFFERENTIATION_NUM_TER,MATCH(B19,PT_DIFFERENTIATION_TER_ID,0))</f>
        <v>.</v>
      </c>
      <c r="M20" s="298" t="s">
        <v>390</v>
      </c>
      <c r="N20" s="288"/>
      <c r="O20" s="2434" t="str">
        <f>INDEX(PT_DIFFERENTIATION_TER,MATCH(B19,PT_DIFFERENTIATION_TER_ID,0))</f>
        <v/>
      </c>
      <c r="P20" s="2434"/>
      <c r="Q20" s="2434"/>
      <c r="R20" s="2434"/>
      <c r="S20" s="2434"/>
      <c r="T20" s="2434"/>
      <c r="U20" s="2434"/>
      <c r="V20" s="2434"/>
      <c r="W20" s="2434"/>
      <c r="X20" s="1286" t="s">
        <v>391</v>
      </c>
      <c r="Z20" s="506"/>
      <c r="AA20" s="506" t="str">
        <f>IF(M20="","",M20)</f>
        <v>Территория действия тарифа</v>
      </c>
      <c r="AB20" s="506"/>
      <c r="AC20" s="506"/>
    </row>
    <row customHeight="1" ht="22.5">
      <c r="A21" s="1393" t="s">
        <v>173</v>
      </c>
      <c r="B21" s="1393" t="s">
        <v>174</v>
      </c>
      <c r="C21" s="1393" t="s">
        <v>175</v>
      </c>
      <c r="D21" s="1393" t="s">
        <v>176</v>
      </c>
      <c r="E21" s="1393"/>
      <c r="F21" s="1395"/>
      <c r="G21" s="1395"/>
      <c r="H21" s="1395"/>
      <c r="I21" s="350"/>
      <c r="J21" s="348"/>
      <c r="K21" s="349"/>
      <c r="L21" s="1323" t="str">
        <f>INDEX(PT_DIFFERENTIATION_NUM_CS,MATCH(C19,PT_DIFFERENTIATION_CS_ID,0))</f>
        <v>..</v>
      </c>
      <c r="M21" s="299" t="s">
        <v>392</v>
      </c>
      <c r="N21" s="288"/>
      <c r="O21" s="2434" t="str">
        <f>INDEX(PT_DIFFERENTIATION_CS,MATCH(C19,PT_DIFFERENTIATION_CS_ID,0))</f>
        <v/>
      </c>
      <c r="P21" s="2434"/>
      <c r="Q21" s="2434"/>
      <c r="R21" s="2434"/>
      <c r="S21" s="2434"/>
      <c r="T21" s="2434"/>
      <c r="U21" s="2434"/>
      <c r="V21" s="2434"/>
      <c r="W21" s="2434"/>
      <c r="X21" s="1286" t="s">
        <v>393</v>
      </c>
      <c r="Z21" s="506"/>
      <c r="AA21" s="506" t="str">
        <f>IF(M21="","",M21)</f>
        <v>Наименование системы теплоснабжения </v>
      </c>
      <c r="AB21" s="506"/>
      <c r="AC21" s="506"/>
    </row>
    <row customHeight="1" ht="21">
      <c r="A22" s="1393" t="s">
        <v>173</v>
      </c>
      <c r="B22" s="1393" t="s">
        <v>174</v>
      </c>
      <c r="C22" s="1393" t="s">
        <v>175</v>
      </c>
      <c r="D22" s="1393" t="s">
        <v>176</v>
      </c>
      <c r="E22" s="1393"/>
      <c r="F22" s="1395"/>
      <c r="G22" s="1395"/>
      <c r="H22" s="1395"/>
      <c r="I22" s="350"/>
      <c r="J22" s="348"/>
      <c r="K22" s="349"/>
      <c r="L22" s="1323" t="str">
        <f>INDEX(PT_DIFFERENTIATION_NUM_IST_TE,MATCH(D19,PT_DIFFERENTIATION_IST_TE_ID,0))</f>
        <v>...</v>
      </c>
      <c r="M22" s="300" t="s">
        <v>394</v>
      </c>
      <c r="N22" s="288"/>
      <c r="O22" s="2434" t="str">
        <f>INDEX(PT_DIFFERENTIATION_IST_TE,MATCH(D19,PT_DIFFERENTIATION_IST_TE_ID,0))</f>
        <v/>
      </c>
      <c r="P22" s="2434"/>
      <c r="Q22" s="2434"/>
      <c r="R22" s="2434"/>
      <c r="S22" s="2434"/>
      <c r="T22" s="2434"/>
      <c r="U22" s="2434"/>
      <c r="V22" s="2434"/>
      <c r="W22" s="2434"/>
      <c r="X22" s="1286" t="s">
        <v>395</v>
      </c>
      <c r="Z22" s="506"/>
      <c r="AA22" s="506" t="str">
        <f>IF(M22="","",M22)</f>
        <v>Источник тепловой энергии  </v>
      </c>
      <c r="AB22" s="506"/>
      <c r="AC22" s="506"/>
    </row>
    <row customHeight="1" ht="94.5">
      <c r="A23" s="1393" t="s">
        <v>173</v>
      </c>
      <c r="B23" s="1393" t="s">
        <v>174</v>
      </c>
      <c r="C23" s="1393" t="s">
        <v>175</v>
      </c>
      <c r="D23" s="1393" t="s">
        <v>176</v>
      </c>
      <c r="E23" s="1393"/>
      <c r="F23" s="2435" t="str">
        <f>L22&amp;".1"</f>
        <v>....1</v>
      </c>
      <c r="I23" s="2111">
        <v>1</v>
      </c>
      <c r="J23" s="1321"/>
      <c r="K23" s="352"/>
      <c r="L23" s="1323" t="str">
        <f>$F$23</f>
        <v>....1</v>
      </c>
      <c r="M23" s="273" t="s">
        <v>397</v>
      </c>
      <c r="N23" s="288"/>
      <c r="O23" s="2436"/>
      <c r="P23" s="2436"/>
      <c r="Q23" s="2436"/>
      <c r="R23" s="2436"/>
      <c r="S23" s="2436"/>
      <c r="T23" s="2436"/>
      <c r="U23" s="2436"/>
      <c r="V23" s="2436"/>
      <c r="W23" s="2436"/>
      <c r="X23" s="1286" t="s">
        <v>398</v>
      </c>
      <c r="Z23" s="506"/>
      <c r="AA23" s="506" t="str">
        <f>IF(M23="","",M23)</f>
        <v>Схема подключения теплопотребляющей установки к коллектору источника тепловой энергии</v>
      </c>
      <c r="AB23" s="506"/>
      <c r="AC23" s="506"/>
    </row>
    <row customHeight="1" ht="84">
      <c r="A24" s="1393" t="s">
        <v>173</v>
      </c>
      <c r="B24" s="1393" t="s">
        <v>174</v>
      </c>
      <c r="C24" s="1393" t="s">
        <v>175</v>
      </c>
      <c r="D24" s="1393" t="s">
        <v>176</v>
      </c>
      <c r="E24" s="1393"/>
      <c r="F24" s="2435"/>
      <c r="G24" s="2082" t="str">
        <f>F23&amp;".1"</f>
        <v>....1.1</v>
      </c>
      <c r="I24" s="2111"/>
      <c r="J24" s="2111">
        <v>1</v>
      </c>
      <c r="K24" s="353"/>
      <c r="L24" s="1323" t="str">
        <f>$G$24</f>
        <v>....1.1</v>
      </c>
      <c r="M24" s="274" t="s">
        <v>400</v>
      </c>
      <c r="N24" s="288"/>
      <c r="O24" s="2437"/>
      <c r="P24" s="2438"/>
      <c r="Q24" s="2438"/>
      <c r="R24" s="2438"/>
      <c r="S24" s="2438"/>
      <c r="T24" s="2438"/>
      <c r="U24" s="2438"/>
      <c r="V24" s="2438"/>
      <c r="W24" s="2439"/>
      <c r="X24" s="1286" t="s">
        <v>401</v>
      </c>
      <c r="Z24" s="506"/>
      <c r="AA24" s="506" t="str">
        <f>IF(M24="","",M24)</f>
        <v>Группа потребителей</v>
      </c>
      <c r="AB24" s="506"/>
      <c r="AC24" s="506"/>
    </row>
    <row customHeight="1" ht="11.25">
      <c r="A25" s="1393" t="s">
        <v>173</v>
      </c>
      <c r="B25" s="1393" t="s">
        <v>174</v>
      </c>
      <c r="C25" s="1393" t="s">
        <v>175</v>
      </c>
      <c r="D25" s="1393" t="s">
        <v>176</v>
      </c>
      <c r="E25" s="1393"/>
      <c r="F25" s="2435"/>
      <c r="G25" s="2082"/>
      <c r="H25" s="2082" t="str">
        <f>G24&amp;".1"</f>
        <v>....1.1.1</v>
      </c>
      <c r="I25" s="2111"/>
      <c r="J25" s="2111"/>
      <c r="K25" s="353">
        <v>1</v>
      </c>
      <c r="L25" s="1323" t="str">
        <f>$H$25</f>
        <v>....1.1.1</v>
      </c>
      <c r="M25" s="1287"/>
      <c r="N25" s="288"/>
      <c r="O25" s="757"/>
      <c r="P25" s="320"/>
      <c r="Q25" s="757"/>
      <c r="R25" s="1285"/>
      <c r="S25" s="2443"/>
      <c r="T25" s="1981" t="s">
        <v>61</v>
      </c>
      <c r="U25" s="2443"/>
      <c r="V25" s="1981" t="s">
        <v>56</v>
      </c>
      <c r="W25" s="320"/>
      <c r="X25" s="2137" t="s">
        <v>403</v>
      </c>
      <c r="Y25" s="517">
        <f>STRCHECKDATE(O26:W26)</f>
      </c>
      <c r="Z25" s="506"/>
      <c r="AA25" s="506" t="str">
        <f>IF(M25="","",M25)</f>
        <v/>
      </c>
      <c r="AB25" s="506"/>
      <c r="AC25" s="506"/>
    </row>
    <row customHeight="1" ht="11.25">
      <c r="A26" s="1393" t="s">
        <v>173</v>
      </c>
      <c r="B26" s="1393" t="s">
        <v>174</v>
      </c>
      <c r="C26" s="1393" t="s">
        <v>175</v>
      </c>
      <c r="D26" s="1393" t="s">
        <v>176</v>
      </c>
      <c r="E26" s="1393"/>
      <c r="F26" s="2435"/>
      <c r="G26" s="2082"/>
      <c r="H26" s="2082"/>
      <c r="I26" s="2111"/>
      <c r="J26" s="2111"/>
      <c r="K26" s="353"/>
      <c r="L26" s="1324"/>
      <c r="M26" s="288"/>
      <c r="N26" s="288"/>
      <c r="O26" s="320"/>
      <c r="P26" s="320"/>
      <c r="Q26" s="320"/>
      <c r="R26" s="324" t="str">
        <f>S25&amp;"-"&amp;U25</f>
        <v>-</v>
      </c>
      <c r="S26" s="2113"/>
      <c r="T26" s="1981"/>
      <c r="U26" s="2113"/>
      <c r="V26" s="1981"/>
      <c r="W26" s="320"/>
      <c r="X26" s="2138"/>
      <c r="Z26" s="506"/>
      <c r="AA26" s="506" t="str">
        <f>IF(M26="","",M26)</f>
        <v/>
      </c>
      <c r="AB26" s="506"/>
      <c r="AC26" s="506"/>
    </row>
    <row customHeight="1" ht="15">
      <c r="A27" s="1393" t="s">
        <v>173</v>
      </c>
      <c r="B27" s="1393" t="s">
        <v>174</v>
      </c>
      <c r="C27" s="1393" t="s">
        <v>175</v>
      </c>
      <c r="D27" s="1393" t="s">
        <v>176</v>
      </c>
      <c r="E27" s="1393"/>
      <c r="F27" s="2435"/>
      <c r="G27" s="2082"/>
      <c r="I27" s="2111"/>
      <c r="J27" s="2111"/>
      <c r="K27" s="352"/>
      <c r="L27" s="1308"/>
      <c r="M27" s="276" t="s">
        <v>404</v>
      </c>
      <c r="N27" s="367"/>
      <c r="O27" s="367"/>
      <c r="P27" s="367"/>
      <c r="Q27" s="367"/>
      <c r="R27" s="367"/>
      <c r="S27" s="367"/>
      <c r="T27" s="367"/>
      <c r="U27" s="367"/>
      <c r="V27" s="367"/>
      <c r="W27" s="319"/>
      <c r="X27" s="2139"/>
      <c r="Z27" s="506"/>
      <c r="AA27" s="506" t="str">
        <f>IF(M27="","",M27)</f>
        <v>Добавить вид теплоносителя (параметры теплоносителя)</v>
      </c>
      <c r="AB27" s="506"/>
      <c r="AC27" s="506"/>
    </row>
    <row customHeight="1" ht="15">
      <c r="A28" s="1393" t="s">
        <v>173</v>
      </c>
      <c r="B28" s="1393" t="s">
        <v>174</v>
      </c>
      <c r="C28" s="1393" t="s">
        <v>175</v>
      </c>
      <c r="D28" s="1393" t="s">
        <v>176</v>
      </c>
      <c r="E28" s="1393"/>
      <c r="F28" s="2435"/>
      <c r="I28" s="2111"/>
      <c r="J28" s="1321"/>
      <c r="K28" s="352"/>
      <c r="L28" s="1308"/>
      <c r="M28" s="275" t="s">
        <v>405</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393" t="s">
        <v>173</v>
      </c>
      <c r="B29" s="1393" t="s">
        <v>174</v>
      </c>
      <c r="C29" s="1393" t="s">
        <v>175</v>
      </c>
      <c r="D29" s="1393" t="s">
        <v>176</v>
      </c>
      <c r="E29" s="1393"/>
      <c r="F29" s="1395"/>
      <c r="G29" s="1395"/>
      <c r="H29" s="543"/>
      <c r="I29" s="356"/>
      <c r="J29" s="376"/>
      <c r="K29" s="351"/>
      <c r="L29" s="1308"/>
      <c r="M29" s="364" t="s">
        <v>406</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393" t="s">
        <v>173</v>
      </c>
      <c r="B30" s="1393" t="s">
        <v>174</v>
      </c>
      <c r="C30" s="1393" t="s">
        <v>175</v>
      </c>
      <c r="D30" s="1393"/>
      <c r="E30" s="1393" t="s">
        <v>573</v>
      </c>
      <c r="F30" s="1395"/>
      <c r="G30" s="1395"/>
      <c r="H30" s="543"/>
      <c r="I30" s="356"/>
      <c r="J30" s="376"/>
      <c r="K30" s="351"/>
      <c r="L30" s="1309"/>
      <c r="M30" s="1298"/>
      <c r="N30" s="1299"/>
      <c r="O30" s="1299"/>
      <c r="P30" s="1299"/>
      <c r="Q30" s="1299"/>
      <c r="R30" s="1299"/>
      <c r="S30" s="1299"/>
      <c r="T30" s="1299"/>
      <c r="U30" s="1299"/>
      <c r="V30" s="1300"/>
      <c r="W30" s="1299"/>
      <c r="X30" s="1301"/>
      <c r="Z30" s="506"/>
      <c r="AA30" s="506" t="str">
        <f>IF(M30="","",M30)</f>
        <v/>
      </c>
      <c r="AB30" s="506"/>
      <c r="AC30" s="506"/>
    </row>
    <row customHeight="1" ht="14.25">
      <c r="A31" s="1393" t="s">
        <v>173</v>
      </c>
      <c r="B31" s="1393" t="s">
        <v>174</v>
      </c>
      <c r="C31" s="1393"/>
      <c r="D31" s="1393"/>
      <c r="E31" s="1393" t="s">
        <v>2144</v>
      </c>
      <c r="F31" s="1547"/>
      <c r="G31" s="1547"/>
      <c r="H31" s="543"/>
      <c r="I31" s="354"/>
      <c r="J31" s="376"/>
      <c r="K31" s="355"/>
      <c r="L31" s="1309"/>
      <c r="M31" s="1302"/>
      <c r="N31" s="1299"/>
      <c r="O31" s="1299"/>
      <c r="P31" s="1299"/>
      <c r="Q31" s="1299"/>
      <c r="R31" s="1299"/>
      <c r="S31" s="1299"/>
      <c r="T31" s="1299"/>
      <c r="U31" s="1299"/>
      <c r="V31" s="1300"/>
      <c r="W31" s="1299"/>
      <c r="X31" s="1301"/>
      <c r="Z31" s="506"/>
      <c r="AA31" s="506" t="str">
        <f>IF(M31="","",M31)</f>
        <v/>
      </c>
      <c r="AB31" s="506"/>
      <c r="AC31" s="506"/>
    </row>
    <row customHeight="1" ht="14.25">
      <c r="A32" s="1393" t="s">
        <v>2145</v>
      </c>
      <c r="B32" s="1393"/>
      <c r="C32" s="1393"/>
      <c r="D32" s="1393"/>
      <c r="E32" s="1393" t="s">
        <v>103</v>
      </c>
      <c r="F32" s="1547"/>
      <c r="G32" s="1547"/>
      <c r="H32" s="543"/>
      <c r="I32" s="356"/>
      <c r="J32" s="376"/>
      <c r="K32" s="351"/>
      <c r="L32" s="1309"/>
      <c r="M32" s="1303"/>
      <c r="N32" s="1299"/>
      <c r="O32" s="1299"/>
      <c r="P32" s="1299"/>
      <c r="Q32" s="1299"/>
      <c r="R32" s="1299"/>
      <c r="S32" s="1299"/>
      <c r="T32" s="1299"/>
      <c r="U32" s="1299"/>
      <c r="V32" s="1300"/>
      <c r="W32" s="1299"/>
      <c r="X32" s="1301"/>
      <c r="Z32" s="506"/>
      <c r="AA32" s="506" t="str">
        <f>IF(M32="","",M32)</f>
        <v/>
      </c>
      <c r="AB32" s="506"/>
      <c r="AC32" s="506"/>
    </row>
    <row s="4752" customFormat="1" customHeight="1" ht="11.25">
      <c r="A33" s="1393"/>
      <c r="B33" s="1393"/>
      <c r="C33" s="1393"/>
      <c r="D33" s="1393"/>
      <c r="E33" s="1393" t="s">
        <v>170</v>
      </c>
      <c r="F33" s="1548"/>
      <c r="G33" s="1549"/>
      <c r="H33" s="543"/>
      <c r="L33" s="1310"/>
      <c r="M33" s="1304"/>
      <c r="N33" s="1299"/>
      <c r="O33" s="1299"/>
      <c r="P33" s="1299"/>
      <c r="Q33" s="1299"/>
      <c r="R33" s="1299"/>
      <c r="S33" s="1299"/>
      <c r="T33" s="1299"/>
      <c r="U33" s="1299"/>
      <c r="V33" s="1300"/>
      <c r="W33" s="1299"/>
      <c r="X33" s="1301"/>
      <c r="Y33" s="383"/>
      <c r="Z33" s="383"/>
      <c r="AA33" s="383"/>
      <c r="AB33" s="383"/>
      <c r="AC33" s="383"/>
    </row>
    <row customHeight="1" ht="11.25">
      <c r="F34" s="1168"/>
      <c r="G34" s="1168"/>
      <c r="H34" s="543"/>
      <c r="I34" s="1163"/>
      <c r="J34" s="1163"/>
      <c r="K34" s="1163"/>
      <c r="Y34" s="1163"/>
      <c r="Z34" s="1163"/>
      <c r="AA34" s="1163"/>
      <c r="AB34" s="1163"/>
      <c r="AC34" s="1163"/>
    </row>
    <row customHeight="1" ht="27">
      <c r="H35" s="543"/>
      <c r="L35" s="1318" t="s">
        <v>705</v>
      </c>
      <c r="M35" s="2106" t="s">
        <v>2146</v>
      </c>
      <c r="N35" s="2106"/>
      <c r="O35" s="2106"/>
      <c r="P35" s="2106"/>
      <c r="Q35" s="2106"/>
      <c r="R35" s="2106"/>
      <c r="S35" s="2106"/>
      <c r="T35" s="2106"/>
      <c r="U35" s="2106"/>
      <c r="V35" s="2106"/>
      <c r="W35" s="2106"/>
      <c r="X35" s="2106"/>
    </row>
    <row customHeight="1" ht="104.25">
      <c r="H36" s="543"/>
      <c r="I36" s="1333"/>
      <c r="M36" s="2106" t="s">
        <v>2147</v>
      </c>
      <c r="N36" s="2106"/>
      <c r="O36" s="2106"/>
      <c r="P36" s="2106"/>
      <c r="Q36" s="2106"/>
      <c r="R36" s="2106"/>
      <c r="S36" s="2106"/>
      <c r="T36" s="2106"/>
      <c r="U36" s="2106"/>
      <c r="V36" s="2106"/>
      <c r="W36" s="2106"/>
      <c r="X36" s="2106"/>
    </row>
    <row customHeight="1" ht="14.25">
      <c r="H37" s="543"/>
    </row>
    <row customHeight="1" ht="14.25">
      <c r="H38" s="543"/>
    </row>
    <row customHeight="1" ht="14.25">
      <c r="H39" s="543"/>
    </row>
    <row customHeight="1" ht="14.25">
      <c r="H40" s="543"/>
    </row>
  </sheetData>
  <sheetProtection formatColumns="0" formatRows="0" autoFilter="0" sort="0" insertRows="0" insertColumns="1" deleteRows="0" deleteColumns="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B06BDA-249D-01ED-009B-52CB13C3FDD8}"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2941" width="11.57421875" customWidth="1"/>
    <col min="2" max="2" style="2941" width="10.7109375" customWidth="1"/>
    <col min="3" max="3" style="2941" width="10.00390625" customWidth="1"/>
    <col min="4" max="4" style="2941" width="12.8515625" customWidth="1"/>
    <col min="5" max="5" style="2941" width="12.28125" customWidth="1"/>
    <col min="6" max="8" style="5277" width="12.28125" customWidth="1"/>
    <col min="9" max="9" style="5277" width="3.7109375" customWidth="1"/>
    <col min="10" max="11" style="3372" width="3.7109375" customWidth="1"/>
    <col min="12" max="12" style="3373" width="12.7109375" customWidth="1"/>
    <col min="13" max="13" style="2941" width="32.00390625" customWidth="1"/>
    <col min="14" max="14" style="2941" width="1.7109375" customWidth="1"/>
    <col min="15" max="18" style="2941" width="24.7109375" customWidth="1"/>
    <col min="19" max="19" style="2941" width="11.7109375" customWidth="1"/>
    <col min="20" max="20" style="2941" width="3.7109375" customWidth="1"/>
    <col min="21" max="21" style="2941" width="11.7109375" customWidth="1"/>
    <col min="22" max="22" style="2941" width="8.57421875" customWidth="1"/>
    <col min="23" max="23" style="2941" width="4.7109375" customWidth="1"/>
    <col min="24" max="24" style="2941" width="115.7109375" customWidth="1"/>
    <col min="25" max="26" style="2612" width="10.57421875"/>
    <col min="27" max="27" style="2612" width="11.140625" customWidth="1"/>
    <col min="28" max="29" style="2612" width="10.57421875"/>
  </cols>
  <sheetData>
    <row customHeight="1" ht="14.25" hidden="1">
      <c r="R1" s="323"/>
      <c r="S1" s="323"/>
    </row>
    <row customHeight="1" ht="14.25" hidden="1">
      <c r="V2" s="323"/>
    </row>
    <row customHeight="1" ht="14.25" hidden="1"/>
    <row customHeight="1" ht="14.25">
      <c r="J4" s="377"/>
      <c r="K4" s="377"/>
      <c r="L4" s="1305"/>
      <c r="M4" s="361"/>
      <c r="N4" s="361"/>
      <c r="O4" s="515"/>
      <c r="P4" s="515"/>
      <c r="Q4" s="515"/>
      <c r="R4" s="515"/>
      <c r="S4" s="515"/>
      <c r="T4" s="515"/>
      <c r="U4" s="515"/>
      <c r="V4" s="515"/>
    </row>
    <row customHeight="1" ht="64.5">
      <c r="J5" s="377"/>
      <c r="K5" s="377"/>
      <c r="L5" s="2441" t="s">
        <v>2142</v>
      </c>
      <c r="M5" s="2441"/>
      <c r="N5" s="2441"/>
      <c r="O5" s="2441"/>
      <c r="P5" s="2441"/>
      <c r="Q5" s="2441"/>
      <c r="R5" s="2441"/>
      <c r="S5" s="2441"/>
      <c r="T5" s="2441"/>
      <c r="U5" s="2441"/>
      <c r="V5" s="1261"/>
    </row>
    <row customHeight="1" ht="14.25">
      <c r="J6" s="377"/>
      <c r="K6" s="377"/>
      <c r="L6" s="2442" t="str">
        <f>IF(org=0,"Не определено",org)</f>
        <v>МУП г. Азова "Теплоэнерго"</v>
      </c>
      <c r="M6" s="2442"/>
      <c r="N6" s="2442"/>
      <c r="O6" s="2442"/>
      <c r="P6" s="2442"/>
      <c r="Q6" s="2442"/>
      <c r="R6" s="2442"/>
      <c r="S6" s="2442"/>
      <c r="T6" s="2442"/>
      <c r="U6" s="2442"/>
      <c r="V6" s="1261"/>
    </row>
    <row customHeight="1" ht="14.25">
      <c r="J7" s="377"/>
      <c r="K7" s="377"/>
      <c r="L7" s="1305"/>
      <c r="M7" s="361"/>
      <c r="N7" s="361"/>
      <c r="O7" s="316"/>
      <c r="P7" s="316"/>
      <c r="Q7" s="316"/>
      <c r="R7" s="316"/>
      <c r="S7" s="316"/>
      <c r="T7" s="316"/>
      <c r="U7" s="316"/>
      <c r="V7" s="316"/>
      <c r="W7" s="515"/>
    </row>
    <row s="3306" customFormat="1" customHeight="1" ht="45">
      <c r="F8" s="1267"/>
      <c r="G8" s="1267"/>
      <c r="H8" s="1267"/>
      <c r="L8" s="1306"/>
      <c r="M8" s="283" t="s">
        <v>38</v>
      </c>
      <c r="N8" s="292"/>
      <c r="O8" s="2100" t="str">
        <f>IF(TITLE_NAME_OR_PR_CHANGE="",IF(TITLE_NAME_OR_PR="","",TITLE_NAME_OR_PR),TITLE_NAME_OR_PR_CHANGE)</f>
        <v>Региональная служба по тарифам Ростовской области</v>
      </c>
      <c r="P8" s="2100"/>
      <c r="Q8" s="2100"/>
      <c r="R8" s="2100"/>
      <c r="S8" s="2100"/>
      <c r="T8" s="2100"/>
      <c r="U8" s="2100"/>
      <c r="V8" s="322"/>
      <c r="W8" s="322"/>
      <c r="X8" s="268"/>
      <c r="Y8" s="368"/>
      <c r="Z8" s="368"/>
      <c r="AA8" s="368"/>
      <c r="AB8" s="368"/>
      <c r="AC8" s="368"/>
    </row>
    <row s="3306" customFormat="1" customHeight="1" ht="22.5">
      <c r="F9" s="1267"/>
      <c r="G9" s="1267"/>
      <c r="H9" s="1267"/>
      <c r="L9" s="1306"/>
      <c r="M9" s="283" t="s">
        <v>413</v>
      </c>
      <c r="N9" s="292"/>
      <c r="O9" s="2100" t="str">
        <f>IF(TITLE_DATE_CHANGE_PERIOD="",IF(TITLE_DATE_PR="","",TITLE_DATE_PR),TITLE_DATE_CHANGE_PERIOD)</f>
        <v>45245.61800925926</v>
      </c>
      <c r="P9" s="2100"/>
      <c r="Q9" s="2100"/>
      <c r="R9" s="2100"/>
      <c r="S9" s="2100"/>
      <c r="T9" s="2100"/>
      <c r="U9" s="2100"/>
      <c r="V9" s="322"/>
      <c r="W9" s="322"/>
      <c r="X9" s="268"/>
      <c r="Y9" s="368"/>
      <c r="Z9" s="368"/>
      <c r="AA9" s="368"/>
      <c r="AB9" s="368"/>
      <c r="AC9" s="368"/>
    </row>
    <row s="3306" customFormat="1" customHeight="1" ht="22.5">
      <c r="F10" s="1267"/>
      <c r="G10" s="1267"/>
      <c r="H10" s="1267"/>
      <c r="L10" s="1269"/>
      <c r="M10" s="283" t="s">
        <v>414</v>
      </c>
      <c r="N10" s="292"/>
      <c r="O10" s="2100" t="str">
        <f>IF(TITLE_NUMBER_PR_CHANGE="",IF(TITLE_NUMBER_PR="","",TITLE_NUMBER_PR),TITLE_NUMBER_PR_CHANGE)</f>
        <v>550</v>
      </c>
      <c r="P10" s="2100"/>
      <c r="Q10" s="2100"/>
      <c r="R10" s="2100"/>
      <c r="S10" s="2100"/>
      <c r="T10" s="2100"/>
      <c r="U10" s="2100"/>
      <c r="V10" s="322"/>
      <c r="W10" s="322"/>
      <c r="X10" s="268"/>
      <c r="Y10" s="368"/>
      <c r="Z10" s="368"/>
      <c r="AA10" s="368"/>
      <c r="AB10" s="368"/>
      <c r="AC10" s="368"/>
    </row>
    <row s="3306" customFormat="1" customHeight="1" ht="22.5">
      <c r="F11" s="1267"/>
      <c r="G11" s="1267"/>
      <c r="H11" s="1267"/>
      <c r="L11" s="1269"/>
      <c r="M11" s="283" t="s">
        <v>40</v>
      </c>
      <c r="N11" s="292"/>
      <c r="O11" s="2100" t="str">
        <f>IF(TITLE_IST_PUB_CHANGE="",IF(TITLE_IST_PUB="","",TITLE_IST_PUB),TITLE_IST_PUB_CHANGE)</f>
        <v>https://rst.donland.ru</v>
      </c>
      <c r="P11" s="2100"/>
      <c r="Q11" s="2100"/>
      <c r="R11" s="2100"/>
      <c r="S11" s="2100"/>
      <c r="T11" s="2100"/>
      <c r="U11" s="2100"/>
      <c r="V11" s="322"/>
      <c r="W11" s="322"/>
      <c r="X11" s="268"/>
      <c r="Y11" s="368"/>
      <c r="Z11" s="368"/>
      <c r="AA11" s="368"/>
      <c r="AB11" s="368"/>
      <c r="AC11" s="368"/>
    </row>
    <row s="3306" customFormat="1" customHeight="1" ht="11.25" hidden="1">
      <c r="F12" s="1267"/>
      <c r="G12" s="1267"/>
      <c r="H12" s="1267"/>
      <c r="L12" s="2440"/>
      <c r="M12" s="2440"/>
      <c r="N12" s="1317"/>
      <c r="O12" s="322"/>
      <c r="P12" s="322"/>
      <c r="Q12" s="322"/>
      <c r="R12" s="322"/>
      <c r="S12" s="322"/>
      <c r="T12" s="322"/>
      <c r="U12" s="322"/>
      <c r="V12" s="266" t="s">
        <v>417</v>
      </c>
      <c r="Y12" s="368"/>
      <c r="Z12" s="368"/>
      <c r="AA12" s="368"/>
      <c r="AB12" s="368"/>
      <c r="AC12" s="368"/>
    </row>
    <row customHeight="1" ht="14.25">
      <c r="J13" s="377"/>
      <c r="K13" s="377"/>
      <c r="L13" s="1305"/>
      <c r="M13" s="361"/>
      <c r="N13" s="1262"/>
      <c r="O13" s="2124"/>
      <c r="P13" s="2124"/>
      <c r="Q13" s="2124"/>
      <c r="R13" s="2124"/>
      <c r="S13" s="2124"/>
      <c r="T13" s="2124"/>
      <c r="U13" s="2124"/>
      <c r="V13" s="2124"/>
    </row>
    <row customHeight="1" ht="14.25">
      <c r="J14" s="377"/>
      <c r="K14" s="377"/>
      <c r="L14" s="1971" t="s">
        <v>291</v>
      </c>
      <c r="M14" s="1971"/>
      <c r="N14" s="1971"/>
      <c r="O14" s="1971"/>
      <c r="P14" s="1971"/>
      <c r="Q14" s="1971"/>
      <c r="R14" s="1971"/>
      <c r="S14" s="1971"/>
      <c r="T14" s="1971"/>
      <c r="U14" s="1971"/>
      <c r="V14" s="1971"/>
      <c r="W14" s="1971"/>
      <c r="X14" s="1971" t="s">
        <v>292</v>
      </c>
    </row>
    <row customHeight="1" ht="14.25">
      <c r="J15" s="377"/>
      <c r="K15" s="377"/>
      <c r="L15" s="2125" t="s">
        <v>87</v>
      </c>
      <c r="M15" s="2062" t="s">
        <v>418</v>
      </c>
      <c r="N15" s="289"/>
      <c r="O15" s="2126" t="s">
        <v>2143</v>
      </c>
      <c r="P15" s="2127"/>
      <c r="Q15" s="2127"/>
      <c r="R15" s="2127"/>
      <c r="S15" s="2127"/>
      <c r="T15" s="2127"/>
      <c r="U15" s="2128"/>
      <c r="V15" s="2129" t="s">
        <v>420</v>
      </c>
      <c r="W15" s="2132" t="s">
        <v>1063</v>
      </c>
      <c r="X15" s="1971"/>
    </row>
    <row customHeight="1" ht="33.75">
      <c r="J16" s="377"/>
      <c r="K16" s="377"/>
      <c r="L16" s="2125"/>
      <c r="M16" s="2062"/>
      <c r="N16" s="1038"/>
      <c r="O16" s="2135" t="s">
        <v>423</v>
      </c>
      <c r="P16" s="2135" t="s">
        <v>424</v>
      </c>
      <c r="Q16" s="2118" t="s">
        <v>425</v>
      </c>
      <c r="R16" s="2120"/>
      <c r="S16" s="2118" t="s">
        <v>439</v>
      </c>
      <c r="T16" s="2119"/>
      <c r="U16" s="2120"/>
      <c r="V16" s="2130"/>
      <c r="W16" s="2133"/>
      <c r="X16" s="1971"/>
    </row>
    <row customHeight="1" ht="33.75">
      <c r="A17" s="1288" t="s">
        <v>133</v>
      </c>
      <c r="B17" s="1288" t="s">
        <v>134</v>
      </c>
      <c r="C17" s="1288" t="s">
        <v>135</v>
      </c>
      <c r="D17" s="1288" t="s">
        <v>136</v>
      </c>
      <c r="E17" s="1288"/>
      <c r="J17" s="377"/>
      <c r="K17" s="377"/>
      <c r="L17" s="2125"/>
      <c r="M17" s="2062"/>
      <c r="N17" s="290"/>
      <c r="O17" s="2136"/>
      <c r="P17" s="2136"/>
      <c r="Q17" s="1237" t="s">
        <v>434</v>
      </c>
      <c r="R17" s="1237" t="s">
        <v>435</v>
      </c>
      <c r="S17" s="1322" t="s">
        <v>436</v>
      </c>
      <c r="T17" s="2121" t="s">
        <v>437</v>
      </c>
      <c r="U17" s="2122"/>
      <c r="V17" s="2131"/>
      <c r="W17" s="2134"/>
      <c r="X17" s="1971"/>
    </row>
    <row s="2611" customFormat="1" customHeight="1" ht="11.25">
      <c r="A18" s="1288"/>
      <c r="B18" s="1288"/>
      <c r="C18" s="1288"/>
      <c r="D18" s="1288"/>
      <c r="E18" s="1288"/>
      <c r="F18" s="1316"/>
      <c r="G18" s="1316"/>
      <c r="H18" s="1316"/>
      <c r="I18" s="1264"/>
      <c r="J18" s="1265"/>
      <c r="K18" s="1280">
        <v>1</v>
      </c>
      <c r="L18" s="1307" t="s">
        <v>108</v>
      </c>
      <c r="M18" s="1281" t="s">
        <v>109</v>
      </c>
      <c r="N18" s="1263" t="str">
        <f>OFFSET(N18,0,-1)</f>
        <v>2</v>
      </c>
      <c r="O18" s="1319">
        <f>OFFSET(O18,0,-1)+1</f>
        <v>3</v>
      </c>
      <c r="P18" s="1319"/>
      <c r="Q18" s="1319">
        <f>OFFSET(Q18,0,-1)+1</f>
        <v>1</v>
      </c>
      <c r="R18" s="1319">
        <f>OFFSET(R18,0,-1)+1</f>
        <v>2</v>
      </c>
      <c r="S18" s="1319">
        <f>OFFSET(S18,0,-1)+1</f>
        <v>3</v>
      </c>
      <c r="T18" s="2123">
        <f>OFFSET(T18,0,-1)+1</f>
        <v>4</v>
      </c>
      <c r="U18" s="2123"/>
      <c r="V18" s="1319">
        <f>OFFSET(V18,0,-2)+1</f>
        <v>5</v>
      </c>
      <c r="W18" s="1263">
        <f>OFFSET(W18,0,-1)</f>
        <v>5</v>
      </c>
      <c r="X18" s="1319">
        <f>OFFSET(X18,0,-1)+1</f>
        <v>6</v>
      </c>
      <c r="Y18" s="517"/>
      <c r="Z18" s="517"/>
      <c r="AA18" s="517"/>
      <c r="AB18" s="517"/>
      <c r="AC18" s="517"/>
    </row>
    <row customHeight="1" ht="21">
      <c r="A19" s="1296" t="s">
        <v>2148</v>
      </c>
      <c r="B19" s="1296" t="s">
        <v>2149</v>
      </c>
      <c r="C19" s="1296" t="s">
        <v>2150</v>
      </c>
      <c r="D19" s="1296" t="s">
        <v>2151</v>
      </c>
      <c r="E19" s="1296"/>
      <c r="F19" s="694"/>
      <c r="G19" s="694"/>
      <c r="H19" s="694"/>
      <c r="I19" s="357"/>
      <c r="J19" s="356"/>
      <c r="K19" s="351"/>
      <c r="L19" s="1323">
        <f>INDEX(PT_DIFFERENTIATION_NUM_NTAR,MATCH(A19,PT_DIFFERENTIATION_NTAR_ID,0))</f>
      </c>
      <c r="M19" s="286" t="s">
        <v>122</v>
      </c>
      <c r="N19" s="288"/>
      <c r="O19" s="2434">
        <f>INDEX(PT_DIFFERENTIATION_NTAR,MATCH(A19,PT_DIFFERENTIATION_NTAR_ID,0))</f>
      </c>
      <c r="P19" s="2434"/>
      <c r="Q19" s="2434"/>
      <c r="R19" s="2434"/>
      <c r="S19" s="2434"/>
      <c r="T19" s="2434"/>
      <c r="U19" s="2434"/>
      <c r="V19" s="2434"/>
      <c r="W19" s="2434"/>
      <c r="X19" s="1286" t="s">
        <v>389</v>
      </c>
      <c r="Z19" s="506"/>
      <c r="AA19" s="506" t="str">
        <f>IF(M19="","",M19)</f>
        <v>Наименование тарифа</v>
      </c>
      <c r="AB19" s="506"/>
      <c r="AC19" s="506"/>
    </row>
    <row customHeight="1" ht="21">
      <c r="A20" s="1296" t="s">
        <v>2148</v>
      </c>
      <c r="B20" s="1296" t="s">
        <v>2149</v>
      </c>
      <c r="C20" s="1296" t="s">
        <v>2150</v>
      </c>
      <c r="D20" s="1296" t="s">
        <v>2151</v>
      </c>
      <c r="E20" s="1296"/>
      <c r="F20" s="694"/>
      <c r="G20" s="694"/>
      <c r="H20" s="694"/>
      <c r="I20" s="1320"/>
      <c r="J20" s="348"/>
      <c r="K20" s="349"/>
      <c r="L20" s="1323">
        <f>INDEX(PT_DIFFERENTIATION_NUM_TER,MATCH(B19,PT_DIFFERENTIATION_TER_ID,0))</f>
      </c>
      <c r="M20" s="298" t="s">
        <v>390</v>
      </c>
      <c r="N20" s="288"/>
      <c r="O20" s="2434">
        <f>INDEX(PT_DIFFERENTIATION_TER,MATCH(B19,PT_DIFFERENTIATION_TER_ID,0))</f>
      </c>
      <c r="P20" s="2434"/>
      <c r="Q20" s="2434"/>
      <c r="R20" s="2434"/>
      <c r="S20" s="2434"/>
      <c r="T20" s="2434"/>
      <c r="U20" s="2434"/>
      <c r="V20" s="2434"/>
      <c r="W20" s="2434"/>
      <c r="X20" s="1286" t="s">
        <v>391</v>
      </c>
      <c r="Z20" s="506"/>
      <c r="AA20" s="506" t="str">
        <f>IF(M20="","",M20)</f>
        <v>Территория действия тарифа</v>
      </c>
      <c r="AB20" s="506"/>
      <c r="AC20" s="506"/>
    </row>
    <row customHeight="1" ht="22.5">
      <c r="A21" s="1296" t="s">
        <v>2148</v>
      </c>
      <c r="B21" s="1296" t="s">
        <v>2149</v>
      </c>
      <c r="C21" s="1296" t="s">
        <v>2150</v>
      </c>
      <c r="D21" s="1296" t="s">
        <v>2151</v>
      </c>
      <c r="E21" s="1296"/>
      <c r="F21" s="694"/>
      <c r="G21" s="694"/>
      <c r="H21" s="694"/>
      <c r="I21" s="350"/>
      <c r="J21" s="348"/>
      <c r="K21" s="349"/>
      <c r="L21" s="1323">
        <f>INDEX(PT_DIFFERENTIATION_NUM_CS,MATCH(C19,PT_DIFFERENTIATION_CS_ID,0))</f>
      </c>
      <c r="M21" s="299" t="s">
        <v>392</v>
      </c>
      <c r="N21" s="288"/>
      <c r="O21" s="2434">
        <f>INDEX(PT_DIFFERENTIATION_CS,MATCH(C19,PT_DIFFERENTIATION_CS_ID,0))</f>
      </c>
      <c r="P21" s="2434"/>
      <c r="Q21" s="2434"/>
      <c r="R21" s="2434"/>
      <c r="S21" s="2434"/>
      <c r="T21" s="2434"/>
      <c r="U21" s="2434"/>
      <c r="V21" s="2434"/>
      <c r="W21" s="2434"/>
      <c r="X21" s="1286" t="s">
        <v>393</v>
      </c>
      <c r="Z21" s="506"/>
      <c r="AA21" s="506" t="str">
        <f>IF(M21="","",M21)</f>
        <v>Наименование системы теплоснабжения </v>
      </c>
      <c r="AB21" s="506"/>
      <c r="AC21" s="506"/>
    </row>
    <row customHeight="1" ht="21">
      <c r="A22" s="1296" t="s">
        <v>2148</v>
      </c>
      <c r="B22" s="1296" t="s">
        <v>2149</v>
      </c>
      <c r="C22" s="1296" t="s">
        <v>2150</v>
      </c>
      <c r="D22" s="1296" t="s">
        <v>2151</v>
      </c>
      <c r="E22" s="1296"/>
      <c r="F22" s="694"/>
      <c r="G22" s="694"/>
      <c r="H22" s="694"/>
      <c r="I22" s="350"/>
      <c r="J22" s="348"/>
      <c r="K22" s="349"/>
      <c r="L22" s="1323">
        <f>INDEX(PT_DIFFERENTIATION_NUM_IST_TE,MATCH(D19,PT_DIFFERENTIATION_IST_TE_ID,0))</f>
      </c>
      <c r="M22" s="300" t="s">
        <v>394</v>
      </c>
      <c r="N22" s="288"/>
      <c r="O22" s="2434">
        <f>INDEX(PT_DIFFERENTIATION_IST_TE,MATCH(D19,PT_DIFFERENTIATION_IST_TE_ID,0))</f>
      </c>
      <c r="P22" s="2434"/>
      <c r="Q22" s="2434"/>
      <c r="R22" s="2434"/>
      <c r="S22" s="2434"/>
      <c r="T22" s="2434"/>
      <c r="U22" s="2434"/>
      <c r="V22" s="2434"/>
      <c r="W22" s="2434"/>
      <c r="X22" s="1286" t="s">
        <v>395</v>
      </c>
      <c r="Z22" s="506"/>
      <c r="AA22" s="506" t="str">
        <f>IF(M22="","",M22)</f>
        <v>Источник тепловой энергии  </v>
      </c>
      <c r="AB22" s="506"/>
      <c r="AC22" s="506"/>
    </row>
    <row customHeight="1" ht="94.5">
      <c r="A23" s="1296" t="s">
        <v>2148</v>
      </c>
      <c r="B23" s="1296" t="s">
        <v>2149</v>
      </c>
      <c r="C23" s="1296" t="s">
        <v>2150</v>
      </c>
      <c r="D23" s="1296" t="s">
        <v>2151</v>
      </c>
      <c r="E23" s="1296"/>
      <c r="F23" s="1969">
        <f>L22&amp;".1"</f>
      </c>
      <c r="I23" s="2111">
        <v>1</v>
      </c>
      <c r="J23" s="1321"/>
      <c r="K23" s="352"/>
      <c r="L23" s="1323">
        <f>$F$23</f>
      </c>
      <c r="M23" s="273" t="s">
        <v>397</v>
      </c>
      <c r="N23" s="288"/>
      <c r="O23" s="2436"/>
      <c r="P23" s="2436"/>
      <c r="Q23" s="2436"/>
      <c r="R23" s="2436"/>
      <c r="S23" s="2436"/>
      <c r="T23" s="2436"/>
      <c r="U23" s="2436"/>
      <c r="V23" s="2436"/>
      <c r="W23" s="2436"/>
      <c r="X23" s="1286" t="s">
        <v>398</v>
      </c>
      <c r="Z23" s="506"/>
      <c r="AA23" s="506" t="str">
        <f>IF(M23="","",M23)</f>
        <v>Схема подключения теплопотребляющей установки к коллектору источника тепловой энергии</v>
      </c>
      <c r="AB23" s="506"/>
      <c r="AC23" s="506"/>
    </row>
    <row customHeight="1" ht="84">
      <c r="A24" s="1296" t="s">
        <v>2148</v>
      </c>
      <c r="B24" s="1296" t="s">
        <v>2149</v>
      </c>
      <c r="C24" s="1296" t="s">
        <v>2150</v>
      </c>
      <c r="D24" s="1296" t="s">
        <v>2151</v>
      </c>
      <c r="E24" s="1296"/>
      <c r="F24" s="1969"/>
      <c r="G24" s="1953">
        <f>F23&amp;".1"</f>
      </c>
      <c r="I24" s="2111"/>
      <c r="J24" s="2111">
        <v>1</v>
      </c>
      <c r="K24" s="353"/>
      <c r="L24" s="1323">
        <f>$G$24</f>
      </c>
      <c r="M24" s="274" t="s">
        <v>400</v>
      </c>
      <c r="N24" s="288"/>
      <c r="O24" s="2437"/>
      <c r="P24" s="2438"/>
      <c r="Q24" s="2438"/>
      <c r="R24" s="2438"/>
      <c r="S24" s="2438"/>
      <c r="T24" s="2438"/>
      <c r="U24" s="2438"/>
      <c r="V24" s="2438"/>
      <c r="W24" s="2439"/>
      <c r="X24" s="1286" t="s">
        <v>401</v>
      </c>
      <c r="Z24" s="506"/>
      <c r="AA24" s="506" t="str">
        <f>IF(M24="","",M24)</f>
        <v>Группа потребителей</v>
      </c>
      <c r="AB24" s="506"/>
      <c r="AC24" s="506"/>
    </row>
    <row customHeight="1" ht="11.25">
      <c r="A25" s="1296" t="s">
        <v>2148</v>
      </c>
      <c r="B25" s="1296" t="s">
        <v>2149</v>
      </c>
      <c r="C25" s="1296" t="s">
        <v>2150</v>
      </c>
      <c r="D25" s="1296" t="s">
        <v>2151</v>
      </c>
      <c r="E25" s="1296"/>
      <c r="F25" s="1969"/>
      <c r="G25" s="1953"/>
      <c r="H25" s="1953">
        <f>G24&amp;".1"</f>
      </c>
      <c r="I25" s="2111"/>
      <c r="J25" s="2111"/>
      <c r="K25" s="353">
        <v>1</v>
      </c>
      <c r="L25" s="1323">
        <f>$H$25</f>
      </c>
      <c r="M25" s="1287"/>
      <c r="N25" s="288"/>
      <c r="O25" s="757"/>
      <c r="P25" s="320"/>
      <c r="Q25" s="757"/>
      <c r="R25" s="1285"/>
      <c r="S25" s="2443"/>
      <c r="T25" s="1981" t="s">
        <v>61</v>
      </c>
      <c r="U25" s="2443"/>
      <c r="V25" s="1981" t="s">
        <v>56</v>
      </c>
      <c r="W25" s="320"/>
      <c r="X25" s="2137" t="s">
        <v>403</v>
      </c>
      <c r="Y25" s="517">
        <f>STRCHECKDATE(O26:W26)</f>
      </c>
      <c r="Z25" s="506"/>
      <c r="AA25" s="506" t="str">
        <f>IF(M25="","",M25)</f>
        <v/>
      </c>
      <c r="AB25" s="506"/>
      <c r="AC25" s="506"/>
    </row>
    <row customHeight="1" ht="11.25">
      <c r="A26" s="1296" t="s">
        <v>2148</v>
      </c>
      <c r="B26" s="1296" t="s">
        <v>2149</v>
      </c>
      <c r="C26" s="1296" t="s">
        <v>2150</v>
      </c>
      <c r="D26" s="1296" t="s">
        <v>2151</v>
      </c>
      <c r="E26" s="1296"/>
      <c r="F26" s="1969"/>
      <c r="G26" s="1953"/>
      <c r="H26" s="1953"/>
      <c r="I26" s="2111"/>
      <c r="J26" s="2111"/>
      <c r="K26" s="353"/>
      <c r="L26" s="1324"/>
      <c r="M26" s="288"/>
      <c r="N26" s="288"/>
      <c r="O26" s="320"/>
      <c r="P26" s="320"/>
      <c r="Q26" s="320"/>
      <c r="R26" s="324" t="str">
        <f>S25&amp;"-"&amp;U25</f>
        <v>-</v>
      </c>
      <c r="S26" s="2113"/>
      <c r="T26" s="1981"/>
      <c r="U26" s="2113"/>
      <c r="V26" s="1981"/>
      <c r="W26" s="320"/>
      <c r="X26" s="2138"/>
      <c r="Z26" s="506"/>
      <c r="AA26" s="506" t="str">
        <f>IF(M26="","",M26)</f>
        <v/>
      </c>
      <c r="AB26" s="506"/>
      <c r="AC26" s="506"/>
    </row>
    <row customHeight="1" ht="15">
      <c r="A27" s="1296" t="s">
        <v>2148</v>
      </c>
      <c r="B27" s="1296" t="s">
        <v>2149</v>
      </c>
      <c r="C27" s="1296" t="s">
        <v>2150</v>
      </c>
      <c r="D27" s="1296" t="s">
        <v>2151</v>
      </c>
      <c r="E27" s="1296"/>
      <c r="F27" s="1969"/>
      <c r="G27" s="1953"/>
      <c r="I27" s="2111"/>
      <c r="J27" s="2111"/>
      <c r="K27" s="352"/>
      <c r="L27" s="1308"/>
      <c r="M27" s="276" t="s">
        <v>404</v>
      </c>
      <c r="N27" s="367"/>
      <c r="O27" s="367"/>
      <c r="P27" s="367"/>
      <c r="Q27" s="367"/>
      <c r="R27" s="367"/>
      <c r="S27" s="367"/>
      <c r="T27" s="367"/>
      <c r="U27" s="367"/>
      <c r="V27" s="367"/>
      <c r="W27" s="319"/>
      <c r="X27" s="2139"/>
      <c r="Z27" s="506"/>
      <c r="AA27" s="506" t="str">
        <f>IF(M27="","",M27)</f>
        <v>Добавить вид теплоносителя (параметры теплоносителя)</v>
      </c>
      <c r="AB27" s="506"/>
      <c r="AC27" s="506"/>
    </row>
    <row customHeight="1" ht="15">
      <c r="A28" s="1296" t="s">
        <v>2148</v>
      </c>
      <c r="B28" s="1296" t="s">
        <v>2149</v>
      </c>
      <c r="C28" s="1296" t="s">
        <v>2150</v>
      </c>
      <c r="D28" s="1296" t="s">
        <v>2151</v>
      </c>
      <c r="E28" s="1296"/>
      <c r="F28" s="1969"/>
      <c r="I28" s="2111"/>
      <c r="J28" s="1321"/>
      <c r="K28" s="352"/>
      <c r="L28" s="1308"/>
      <c r="M28" s="275" t="s">
        <v>405</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296" t="s">
        <v>2148</v>
      </c>
      <c r="B29" s="1296" t="s">
        <v>2149</v>
      </c>
      <c r="C29" s="1296" t="s">
        <v>2150</v>
      </c>
      <c r="D29" s="1296" t="s">
        <v>2151</v>
      </c>
      <c r="E29" s="1296"/>
      <c r="F29" s="694"/>
      <c r="G29" s="694"/>
      <c r="H29" s="515"/>
      <c r="I29" s="356"/>
      <c r="J29" s="376"/>
      <c r="K29" s="351"/>
      <c r="L29" s="1308"/>
      <c r="M29" s="364" t="s">
        <v>406</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296" t="s">
        <v>2148</v>
      </c>
      <c r="B30" s="1296" t="s">
        <v>2149</v>
      </c>
      <c r="C30" s="1296" t="s">
        <v>2150</v>
      </c>
      <c r="D30" s="1296"/>
      <c r="E30" s="1296" t="s">
        <v>573</v>
      </c>
      <c r="F30" s="694"/>
      <c r="G30" s="694"/>
      <c r="H30" s="515"/>
      <c r="I30" s="356"/>
      <c r="J30" s="376"/>
      <c r="K30" s="351"/>
      <c r="L30" s="1309"/>
      <c r="M30" s="1298"/>
      <c r="N30" s="1299"/>
      <c r="O30" s="1299"/>
      <c r="P30" s="1299"/>
      <c r="Q30" s="1299"/>
      <c r="R30" s="1299"/>
      <c r="S30" s="1299"/>
      <c r="T30" s="1299"/>
      <c r="U30" s="1299"/>
      <c r="V30" s="1300"/>
      <c r="W30" s="1299"/>
      <c r="X30" s="1301"/>
      <c r="Z30" s="506"/>
      <c r="AA30" s="506" t="str">
        <f>IF(M30="","",M30)</f>
        <v/>
      </c>
      <c r="AB30" s="506"/>
      <c r="AC30" s="506"/>
    </row>
    <row customHeight="1" ht="14.25">
      <c r="A31" s="1296" t="s">
        <v>2148</v>
      </c>
      <c r="B31" s="1296" t="s">
        <v>2149</v>
      </c>
      <c r="C31" s="1296"/>
      <c r="D31" s="1296"/>
      <c r="E31" s="1296" t="s">
        <v>2144</v>
      </c>
      <c r="F31" s="1283"/>
      <c r="G31" s="1283"/>
      <c r="H31" s="515"/>
      <c r="I31" s="354"/>
      <c r="J31" s="376"/>
      <c r="K31" s="355"/>
      <c r="L31" s="1309"/>
      <c r="M31" s="1302"/>
      <c r="N31" s="1299"/>
      <c r="O31" s="1299"/>
      <c r="P31" s="1299"/>
      <c r="Q31" s="1299"/>
      <c r="R31" s="1299"/>
      <c r="S31" s="1299"/>
      <c r="T31" s="1299"/>
      <c r="U31" s="1299"/>
      <c r="V31" s="1300"/>
      <c r="W31" s="1299"/>
      <c r="X31" s="1301"/>
      <c r="Z31" s="506"/>
      <c r="AA31" s="506" t="str">
        <f>IF(M31="","",M31)</f>
        <v/>
      </c>
      <c r="AB31" s="506"/>
      <c r="AC31" s="506"/>
    </row>
    <row customHeight="1" ht="14.25">
      <c r="A32" s="1296" t="s">
        <v>2152</v>
      </c>
      <c r="B32" s="1296"/>
      <c r="C32" s="1296"/>
      <c r="D32" s="1296"/>
      <c r="E32" s="1296" t="s">
        <v>103</v>
      </c>
      <c r="F32" s="1283"/>
      <c r="G32" s="1283"/>
      <c r="H32" s="515"/>
      <c r="I32" s="356"/>
      <c r="J32" s="376"/>
      <c r="K32" s="351"/>
      <c r="L32" s="1309"/>
      <c r="M32" s="1303"/>
      <c r="N32" s="1299"/>
      <c r="O32" s="1299"/>
      <c r="P32" s="1299"/>
      <c r="Q32" s="1299"/>
      <c r="R32" s="1299"/>
      <c r="S32" s="1299"/>
      <c r="T32" s="1299"/>
      <c r="U32" s="1299"/>
      <c r="V32" s="1300"/>
      <c r="W32" s="1299"/>
      <c r="X32" s="1301"/>
      <c r="Z32" s="506"/>
      <c r="AA32" s="506" t="str">
        <f>IF(M32="","",M32)</f>
        <v/>
      </c>
      <c r="AB32" s="506"/>
      <c r="AC32" s="506"/>
    </row>
    <row s="4752" customFormat="1" customHeight="1" ht="11.25">
      <c r="A33" s="1296"/>
      <c r="B33" s="1296"/>
      <c r="C33" s="1296"/>
      <c r="D33" s="1296"/>
      <c r="E33" s="1296" t="s">
        <v>170</v>
      </c>
      <c r="F33" s="1297"/>
      <c r="G33" s="1284"/>
      <c r="H33" s="515"/>
      <c r="L33" s="1310"/>
      <c r="M33" s="1304"/>
      <c r="N33" s="1299"/>
      <c r="O33" s="1299"/>
      <c r="P33" s="1299"/>
      <c r="Q33" s="1299"/>
      <c r="R33" s="1299"/>
      <c r="S33" s="1299"/>
      <c r="T33" s="1299"/>
      <c r="U33" s="1299"/>
      <c r="V33" s="1300"/>
      <c r="W33" s="1299"/>
      <c r="X33" s="1301"/>
      <c r="Y33" s="383"/>
      <c r="Z33" s="383"/>
      <c r="AA33" s="383"/>
      <c r="AB33" s="383"/>
      <c r="AC33" s="383"/>
    </row>
    <row customHeight="1" ht="11.25">
      <c r="F34" s="1163"/>
      <c r="G34" s="1163"/>
      <c r="H34" s="515"/>
      <c r="I34" s="1163"/>
      <c r="J34" s="1163"/>
      <c r="K34" s="1163"/>
      <c r="Y34" s="1163"/>
      <c r="Z34" s="1163"/>
      <c r="AA34" s="1163"/>
      <c r="AB34" s="1163"/>
      <c r="AC34" s="1163"/>
    </row>
    <row customHeight="1" ht="27">
      <c r="H35" s="515"/>
      <c r="L35" s="1318" t="s">
        <v>705</v>
      </c>
      <c r="M35" s="2106" t="s">
        <v>2146</v>
      </c>
      <c r="N35" s="2106"/>
      <c r="O35" s="2106"/>
      <c r="P35" s="2106"/>
      <c r="Q35" s="2106"/>
      <c r="R35" s="2106"/>
      <c r="S35" s="2106"/>
      <c r="T35" s="2106"/>
      <c r="U35" s="2106"/>
      <c r="V35" s="2106"/>
      <c r="W35" s="2106"/>
      <c r="X35" s="2106"/>
    </row>
    <row customHeight="1" ht="104.25">
      <c r="F36" s="1333"/>
      <c r="G36" s="1333"/>
      <c r="H36" s="515"/>
      <c r="I36" s="1333"/>
      <c r="M36" s="2106" t="s">
        <v>2147</v>
      </c>
      <c r="N36" s="2106"/>
      <c r="O36" s="2106"/>
      <c r="P36" s="2106"/>
      <c r="Q36" s="2106"/>
      <c r="R36" s="2106"/>
      <c r="S36" s="2106"/>
      <c r="T36" s="2106"/>
      <c r="U36" s="2106"/>
      <c r="V36" s="2106"/>
      <c r="W36" s="2106"/>
      <c r="X36" s="2106"/>
    </row>
    <row customHeight="1" ht="14.25">
      <c r="H37" s="515"/>
    </row>
    <row customHeight="1" ht="14.25">
      <c r="H38" s="515"/>
    </row>
    <row customHeight="1" ht="14.25">
      <c r="H39" s="515"/>
    </row>
    <row customHeight="1" ht="14.25">
      <c r="H40" s="515"/>
    </row>
  </sheetData>
  <sheetProtection formatColumns="0" formatRows="0" autoFilter="0" sort="0" insertRows="0" insertColumns="1" deleteRows="0" deleteColumns="0"/>
  <mergeCells count="39">
    <mergeCell ref="M35:X35"/>
    <mergeCell ref="M36:X36"/>
    <mergeCell ref="S25:S26"/>
    <mergeCell ref="T25:T26"/>
    <mergeCell ref="U25:U26"/>
    <mergeCell ref="V25:V26"/>
    <mergeCell ref="X25:X27"/>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 ref="H25:H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448D35-F0F3-1548-B1B2-6C66BF3FD448}" mc:Ignorable="x14ac xr xr2 xr3">
  <sheetPr>
    <tabColor rgb="FFCCCCFF"/>
  </sheetPr>
  <dimension ref="A1:BL49"/>
  <sheetViews>
    <sheetView topLeftCell="A1" showGridLines="0" zoomScale="90" workbookViewId="0">
      <selection activeCell="A1" sqref="A1"/>
    </sheetView>
  </sheetViews>
  <sheetFormatPr defaultColWidth="9.140625" customHeight="1" defaultRowHeight="11.25"/>
  <cols>
    <col min="1" max="2" style="2747" width="9.140625" hidden="1"/>
    <col min="3" max="4" style="2747" width="3.7109375" customWidth="1"/>
    <col min="5" max="6" style="2747" width="16.00390625" customWidth="1"/>
    <col min="7" max="7" style="2747" width="11.57421875" customWidth="1"/>
    <col min="8" max="9" style="2747" width="3.7109375" customWidth="1"/>
    <col min="10" max="10" style="2747" width="13.140625" customWidth="1"/>
    <col min="11" max="11" style="2747" width="0.28125" customWidth="1"/>
    <col min="12" max="13" style="2747" width="10.7109375" customWidth="1"/>
    <col min="14" max="15" style="2747" width="3.7109375" customWidth="1"/>
    <col min="16" max="16" style="2747" width="19.7109375" customWidth="1"/>
    <col min="17" max="17" style="2747" width="0.28125" customWidth="1"/>
    <col min="18" max="19" style="2747" width="10.7109375" customWidth="1"/>
    <col min="20" max="21" style="2747" width="3.7109375" customWidth="1"/>
    <col min="22" max="22" style="2747" width="25.7109375" customWidth="1"/>
    <col min="23" max="23" style="2747" width="0.28125" customWidth="1"/>
    <col min="24" max="25" style="2747" width="10.7109375" customWidth="1"/>
    <col min="26" max="27" style="2747" width="3.7109375" customWidth="1"/>
    <col min="28" max="28" style="2747" width="16.421875" customWidth="1"/>
    <col min="29" max="29" style="2747" width="0.28125" customWidth="1"/>
    <col min="30" max="31" style="2747" width="10.7109375" customWidth="1"/>
    <col min="32" max="33" style="2747" width="3.7109375" customWidth="1"/>
    <col min="34" max="34" style="2747" width="8.7109375" customWidth="1"/>
    <col min="35" max="35" style="2747" width="21.7109375" customWidth="1"/>
    <col min="36" max="36" style="2666" width="9.140625"/>
    <col min="37" max="37" style="2939" width="9.140625"/>
    <col min="38" max="64" style="2666" width="9.140625"/>
  </cols>
  <sheetData>
    <row s="2674" customFormat="1" customHeight="1" ht="11.25" hidden="1">
      <c r="AJ1" s="428"/>
      <c r="AK1" s="428"/>
      <c r="AL1" s="428"/>
      <c r="AM1" s="428"/>
      <c r="AN1" s="428"/>
      <c r="AO1" s="428"/>
      <c r="AP1" s="428"/>
      <c r="AQ1" s="428"/>
      <c r="AR1" s="428"/>
      <c r="AS1" s="428"/>
      <c r="AT1" s="428"/>
      <c r="AU1" s="428"/>
      <c r="AV1" s="428"/>
      <c r="AW1" s="428"/>
      <c r="AX1" s="428"/>
      <c r="AY1" s="428"/>
      <c r="AZ1" s="428"/>
      <c r="BA1" s="428"/>
      <c r="BB1" s="428"/>
      <c r="BC1" s="428"/>
      <c r="BD1" s="428"/>
      <c r="BE1" s="428"/>
      <c r="BF1" s="428"/>
      <c r="BG1" s="428"/>
      <c r="BH1" s="428"/>
      <c r="BI1" s="428"/>
      <c r="BJ1" s="428"/>
      <c r="BK1" s="428"/>
      <c r="BL1" s="428"/>
    </row>
    <row s="2935" customFormat="1" customHeight="1" ht="11.25" hidden="1">
      <c r="L2" s="1593" t="s">
        <v>270</v>
      </c>
      <c r="M2" s="1593" t="s">
        <v>271</v>
      </c>
      <c r="R2" s="1593" t="s">
        <v>272</v>
      </c>
      <c r="S2" s="1593" t="s">
        <v>271</v>
      </c>
      <c r="X2" s="1593" t="s">
        <v>270</v>
      </c>
      <c r="Y2" s="1593" t="s">
        <v>271</v>
      </c>
      <c r="AD2" s="1593" t="s">
        <v>270</v>
      </c>
      <c r="AE2" s="1593" t="s">
        <v>271</v>
      </c>
      <c r="AJ2" s="1615"/>
      <c r="AK2" s="1615"/>
      <c r="AL2" s="1615"/>
      <c r="AM2" s="1615"/>
      <c r="AN2" s="1615"/>
      <c r="AO2" s="1615"/>
      <c r="AP2" s="1615"/>
      <c r="AQ2" s="1615"/>
      <c r="AR2" s="1615"/>
      <c r="AS2" s="1615"/>
      <c r="AT2" s="1615"/>
      <c r="AU2" s="1615"/>
      <c r="AV2" s="1615"/>
      <c r="AW2" s="1615"/>
      <c r="AX2" s="1615"/>
      <c r="AY2" s="1615"/>
      <c r="AZ2" s="1615"/>
      <c r="BA2" s="1615"/>
      <c r="BB2" s="1615"/>
      <c r="BC2" s="1615"/>
      <c r="BD2" s="1615"/>
      <c r="BE2" s="1615"/>
      <c r="BF2" s="1615"/>
      <c r="BG2" s="1615"/>
      <c r="BH2" s="1615"/>
      <c r="BI2" s="1615"/>
      <c r="BJ2" s="1615"/>
      <c r="BK2" s="1615"/>
      <c r="BL2" s="1615"/>
    </row>
    <row s="2937" customFormat="1" customHeight="1" ht="11.25">
      <c r="AJ3" s="1614"/>
      <c r="AK3" s="295"/>
      <c r="AL3" s="1614"/>
      <c r="AM3" s="1614"/>
      <c r="AN3" s="1614"/>
      <c r="AO3" s="1614"/>
      <c r="AP3" s="1614"/>
      <c r="AQ3" s="1614"/>
      <c r="AR3" s="1614"/>
      <c r="AS3" s="1614"/>
      <c r="AT3" s="1614"/>
      <c r="AU3" s="1614"/>
      <c r="AV3" s="1614"/>
      <c r="AW3" s="1614"/>
      <c r="AX3" s="1614"/>
      <c r="AY3" s="1614"/>
      <c r="AZ3" s="1614"/>
      <c r="BA3" s="1614"/>
      <c r="BB3" s="1614"/>
      <c r="BC3" s="1614"/>
      <c r="BD3" s="1614"/>
      <c r="BE3" s="1614"/>
      <c r="BF3" s="1614"/>
      <c r="BG3" s="1614"/>
      <c r="BH3" s="1614"/>
      <c r="BI3" s="1614"/>
      <c r="BJ3" s="1614"/>
      <c r="BK3" s="1614"/>
      <c r="BL3" s="1614"/>
    </row>
    <row s="2657" customFormat="1" customHeight="1" ht="33">
      <c r="A4" s="1164"/>
      <c r="B4" s="1163"/>
      <c r="C4" s="1545"/>
      <c r="D4" s="2027" t="s">
        <v>273</v>
      </c>
      <c r="E4" s="2027"/>
      <c r="F4" s="2027"/>
      <c r="G4" s="2027"/>
      <c r="H4" s="2027"/>
      <c r="I4" s="2027"/>
      <c r="J4" s="2027"/>
      <c r="K4" s="705"/>
      <c r="T4" s="1595"/>
      <c r="AJ4" s="1616"/>
      <c r="AK4" s="1617"/>
      <c r="AL4" s="1616"/>
      <c r="AM4" s="1616"/>
      <c r="AN4" s="1616"/>
      <c r="AO4" s="1616"/>
      <c r="AP4" s="1616"/>
      <c r="AQ4" s="1616"/>
      <c r="AR4" s="1616"/>
      <c r="AS4" s="1616"/>
      <c r="AT4" s="1616"/>
      <c r="AU4" s="1616"/>
      <c r="AV4" s="1616"/>
      <c r="AW4" s="1616"/>
      <c r="AX4" s="1616"/>
      <c r="AY4" s="1616"/>
      <c r="AZ4" s="1616"/>
      <c r="BA4" s="1616"/>
      <c r="BB4" s="1616"/>
      <c r="BC4" s="1616"/>
      <c r="BD4" s="1616"/>
      <c r="BE4" s="1616"/>
      <c r="BF4" s="1616"/>
      <c r="BG4" s="1616"/>
      <c r="BH4" s="1616"/>
      <c r="BI4" s="1616"/>
      <c r="BJ4" s="1616"/>
      <c r="BK4" s="1616"/>
      <c r="BL4" s="1616"/>
    </row>
    <row s="2948" customFormat="1" customHeight="1" ht="14.25">
      <c r="A5" s="1672"/>
      <c r="B5" s="1671"/>
      <c r="C5" s="1545"/>
      <c r="D5" s="2053" t="str">
        <f>IF(org=0,"Не определено",org)</f>
        <v>МУП г. Азова "Теплоэнерго"</v>
      </c>
      <c r="E5" s="2053"/>
      <c r="F5" s="2053"/>
      <c r="G5" s="2053"/>
      <c r="H5" s="2053"/>
      <c r="I5" s="2053"/>
      <c r="J5" s="2053"/>
      <c r="K5" s="705"/>
      <c r="T5" s="1595"/>
      <c r="AJ5" s="1616"/>
      <c r="AK5" s="1617"/>
      <c r="AL5" s="1616"/>
      <c r="AM5" s="1616"/>
      <c r="AN5" s="1616"/>
      <c r="AO5" s="1616"/>
      <c r="AP5" s="1616"/>
      <c r="AQ5" s="1616"/>
      <c r="AR5" s="1616"/>
      <c r="AS5" s="1616"/>
      <c r="AT5" s="1616"/>
      <c r="AU5" s="1616"/>
      <c r="AV5" s="1616"/>
      <c r="AW5" s="1616"/>
      <c r="AX5" s="1616"/>
      <c r="AY5" s="1616"/>
      <c r="AZ5" s="1616"/>
      <c r="BA5" s="1616"/>
      <c r="BB5" s="1616"/>
      <c r="BC5" s="1616"/>
      <c r="BD5" s="1616"/>
      <c r="BE5" s="1616"/>
      <c r="BF5" s="1616"/>
      <c r="BG5" s="1616"/>
      <c r="BH5" s="1616"/>
      <c r="BI5" s="1616"/>
      <c r="BJ5" s="1616"/>
      <c r="BK5" s="1616"/>
      <c r="BL5" s="1616"/>
    </row>
    <row s="2657" customFormat="1" customHeight="1" ht="14.25">
      <c r="A6" s="1164"/>
      <c r="B6" s="1163"/>
      <c r="C6" s="1545"/>
      <c r="D6" s="705"/>
      <c r="E6" s="705"/>
      <c r="F6" s="705"/>
      <c r="G6" s="705"/>
      <c r="H6" s="705"/>
      <c r="I6" s="705"/>
      <c r="J6" s="705"/>
      <c r="K6" s="705"/>
      <c r="T6" s="1595"/>
      <c r="AJ6" s="1616"/>
      <c r="AK6" s="1617"/>
      <c r="AL6" s="1616"/>
      <c r="AM6" s="1616"/>
      <c r="AN6" s="1616"/>
      <c r="AO6" s="1616"/>
      <c r="AP6" s="1616"/>
      <c r="AQ6" s="1616"/>
      <c r="AR6" s="1616"/>
      <c r="AS6" s="1616"/>
      <c r="AT6" s="1616"/>
      <c r="AU6" s="1616"/>
      <c r="AV6" s="1616"/>
      <c r="AW6" s="1616"/>
      <c r="AX6" s="1616"/>
      <c r="AY6" s="1616"/>
      <c r="AZ6" s="1616"/>
      <c r="BA6" s="1616"/>
      <c r="BB6" s="1616"/>
      <c r="BC6" s="1616"/>
      <c r="BD6" s="1616"/>
      <c r="BE6" s="1616"/>
      <c r="BF6" s="1616"/>
      <c r="BG6" s="1616"/>
      <c r="BH6" s="1616"/>
      <c r="BI6" s="1616"/>
      <c r="BJ6" s="1616"/>
      <c r="BK6" s="1616"/>
      <c r="BL6" s="1616"/>
    </row>
    <row s="2674" customFormat="1" customHeight="1" ht="0.75">
      <c r="AJ7" s="428"/>
      <c r="AK7" s="428"/>
      <c r="AL7" s="428"/>
      <c r="AM7" s="428"/>
      <c r="AN7" s="428"/>
      <c r="AO7" s="428"/>
      <c r="AP7" s="428"/>
      <c r="AQ7" s="428"/>
      <c r="AR7" s="428"/>
      <c r="AS7" s="428"/>
      <c r="AT7" s="428"/>
      <c r="AU7" s="428"/>
      <c r="AV7" s="428"/>
      <c r="AW7" s="428"/>
      <c r="AX7" s="428"/>
      <c r="AY7" s="428"/>
      <c r="AZ7" s="428"/>
      <c r="BA7" s="428"/>
      <c r="BB7" s="428"/>
      <c r="BC7" s="428"/>
      <c r="BD7" s="428"/>
      <c r="BE7" s="428"/>
      <c r="BF7" s="428"/>
      <c r="BG7" s="428"/>
      <c r="BH7" s="428"/>
      <c r="BI7" s="428"/>
      <c r="BJ7" s="428"/>
      <c r="BK7" s="428"/>
      <c r="BL7" s="428"/>
    </row>
    <row customHeight="1" ht="31.5">
      <c r="D8" s="1971" t="s">
        <v>87</v>
      </c>
      <c r="E8" s="1971" t="s">
        <v>104</v>
      </c>
      <c r="F8" s="2029" t="s">
        <v>121</v>
      </c>
      <c r="G8" s="2030"/>
      <c r="H8" s="2029" t="s">
        <v>87</v>
      </c>
      <c r="I8" s="2030"/>
      <c r="J8" s="1971" t="s">
        <v>122</v>
      </c>
      <c r="K8" s="1596"/>
      <c r="L8" s="2033" t="s">
        <v>274</v>
      </c>
      <c r="M8" s="2033"/>
      <c r="N8" s="2033"/>
      <c r="O8" s="2033"/>
      <c r="P8" s="2033"/>
      <c r="Q8" s="1597"/>
      <c r="R8" s="1950" t="s">
        <v>275</v>
      </c>
      <c r="S8" s="2034"/>
      <c r="T8" s="2034"/>
      <c r="U8" s="2034"/>
      <c r="V8" s="2034"/>
      <c r="W8" s="1597"/>
      <c r="X8" s="2035" t="s">
        <v>276</v>
      </c>
      <c r="Y8" s="2035"/>
      <c r="Z8" s="2035"/>
      <c r="AA8" s="2035"/>
      <c r="AB8" s="2035"/>
      <c r="AC8" s="1598"/>
      <c r="AD8" s="1971" t="s">
        <v>277</v>
      </c>
      <c r="AE8" s="1971"/>
      <c r="AF8" s="1971"/>
      <c r="AG8" s="1971"/>
      <c r="AH8" s="1955"/>
      <c r="AI8" s="1971" t="s">
        <v>278</v>
      </c>
      <c r="AJ8" s="1614"/>
    </row>
    <row customHeight="1" ht="22.5">
      <c r="D9" s="1971"/>
      <c r="E9" s="1971"/>
      <c r="F9" s="2028" t="s">
        <v>88</v>
      </c>
      <c r="G9" s="2028" t="s">
        <v>127</v>
      </c>
      <c r="H9" s="2031"/>
      <c r="I9" s="2032"/>
      <c r="J9" s="1955"/>
      <c r="K9" s="1599"/>
      <c r="L9" s="1971" t="s">
        <v>279</v>
      </c>
      <c r="M9" s="1955"/>
      <c r="N9" s="2029" t="s">
        <v>87</v>
      </c>
      <c r="O9" s="2030"/>
      <c r="P9" s="1971" t="s">
        <v>128</v>
      </c>
      <c r="Q9" s="1596"/>
      <c r="R9" s="1971" t="s">
        <v>279</v>
      </c>
      <c r="S9" s="1955"/>
      <c r="T9" s="2029" t="s">
        <v>87</v>
      </c>
      <c r="U9" s="2030"/>
      <c r="V9" s="1971" t="s">
        <v>128</v>
      </c>
      <c r="W9" s="1596"/>
      <c r="X9" s="1971" t="s">
        <v>279</v>
      </c>
      <c r="Y9" s="1955"/>
      <c r="Z9" s="2029" t="s">
        <v>87</v>
      </c>
      <c r="AA9" s="2030"/>
      <c r="AB9" s="1971" t="s">
        <v>280</v>
      </c>
      <c r="AC9" s="1596"/>
      <c r="AD9" s="1971" t="s">
        <v>279</v>
      </c>
      <c r="AE9" s="1955"/>
      <c r="AF9" s="2029" t="s">
        <v>87</v>
      </c>
      <c r="AG9" s="2030"/>
      <c r="AH9" s="1955" t="s">
        <v>280</v>
      </c>
      <c r="AI9" s="1971"/>
      <c r="AJ9" s="1614"/>
    </row>
    <row customHeight="1" ht="22.5">
      <c r="D10" s="2028"/>
      <c r="E10" s="2028"/>
      <c r="F10" s="2036"/>
      <c r="G10" s="2036"/>
      <c r="H10" s="2037"/>
      <c r="I10" s="2038"/>
      <c r="J10" s="2029"/>
      <c r="K10" s="1599"/>
      <c r="L10" s="1618" t="s">
        <v>281</v>
      </c>
      <c r="M10" s="1613" t="s">
        <v>282</v>
      </c>
      <c r="N10" s="2031"/>
      <c r="O10" s="2032"/>
      <c r="P10" s="2028"/>
      <c r="Q10" s="1596"/>
      <c r="R10" s="1618" t="s">
        <v>281</v>
      </c>
      <c r="S10" s="1613" t="s">
        <v>282</v>
      </c>
      <c r="T10" s="2031"/>
      <c r="U10" s="2032"/>
      <c r="V10" s="2028"/>
      <c r="W10" s="1596"/>
      <c r="X10" s="1618" t="s">
        <v>281</v>
      </c>
      <c r="Y10" s="1613" t="s">
        <v>282</v>
      </c>
      <c r="Z10" s="2031"/>
      <c r="AA10" s="2032"/>
      <c r="AB10" s="2028"/>
      <c r="AC10" s="1596"/>
      <c r="AD10" s="1618" t="s">
        <v>281</v>
      </c>
      <c r="AE10" s="1613" t="s">
        <v>282</v>
      </c>
      <c r="AF10" s="2031"/>
      <c r="AG10" s="2032"/>
      <c r="AH10" s="2029"/>
      <c r="AI10" s="2028"/>
      <c r="AJ10" s="1614"/>
      <c r="AK10" s="240" t="s">
        <v>283</v>
      </c>
      <c r="AL10" s="240" t="s">
        <v>129</v>
      </c>
    </row>
    <row customHeight="1" ht="14.25">
      <c r="D11" s="2039" t="s">
        <v>108</v>
      </c>
      <c r="E11" s="2041" t="s">
        <v>284</v>
      </c>
      <c r="F11" s="2041" t="s">
        <v>285</v>
      </c>
      <c r="G11" s="2044" t="s">
        <v>56</v>
      </c>
      <c r="H11" s="1639"/>
      <c r="I11" s="2046"/>
      <c r="J11" s="2002"/>
      <c r="K11" s="1544"/>
      <c r="L11" s="1989"/>
      <c r="M11" s="1989"/>
      <c r="N11" s="1624"/>
      <c r="O11" s="1989"/>
      <c r="P11" s="2002"/>
      <c r="Q11" s="1625"/>
      <c r="R11" s="1989"/>
      <c r="S11" s="1989"/>
      <c r="T11" s="1626"/>
      <c r="U11" s="1989"/>
      <c r="V11" s="2002"/>
      <c r="W11" s="1627"/>
      <c r="X11" s="1989"/>
      <c r="Y11" s="1989"/>
      <c r="Z11" s="1624"/>
      <c r="AA11" s="1989"/>
      <c r="AB11" s="2002"/>
      <c r="AC11" s="1628"/>
      <c r="AD11" s="1989"/>
      <c r="AE11" s="1989"/>
      <c r="AF11" s="1543"/>
      <c r="AG11" s="1543"/>
      <c r="AH11" s="1629"/>
      <c r="AI11" s="1326"/>
      <c r="AJ11" s="1614"/>
    </row>
    <row customHeight="1" ht="14.25">
      <c r="D12" s="2039"/>
      <c r="E12" s="2041"/>
      <c r="F12" s="2041"/>
      <c r="G12" s="2045"/>
      <c r="H12" s="1640"/>
      <c r="I12" s="2047"/>
      <c r="J12" s="2003"/>
      <c r="K12" s="1650"/>
      <c r="L12" s="1990"/>
      <c r="M12" s="1990"/>
      <c r="N12" s="1630"/>
      <c r="O12" s="1990"/>
      <c r="P12" s="2003"/>
      <c r="Q12" s="1631"/>
      <c r="R12" s="1990"/>
      <c r="S12" s="1990"/>
      <c r="T12" s="1632"/>
      <c r="U12" s="1990"/>
      <c r="V12" s="2003"/>
      <c r="W12" s="1633"/>
      <c r="X12" s="1990"/>
      <c r="Y12" s="1990"/>
      <c r="Z12" s="1630"/>
      <c r="AA12" s="1990"/>
      <c r="AB12" s="2003"/>
      <c r="AC12" s="1634"/>
      <c r="AD12" s="1990"/>
      <c r="AE12" s="1990"/>
      <c r="AF12" s="1635"/>
      <c r="AG12" s="1635"/>
      <c r="AH12" s="2050"/>
      <c r="AI12" s="2051"/>
      <c r="AJ12" s="1614"/>
    </row>
    <row customHeight="1" ht="14.25">
      <c r="D13" s="2039"/>
      <c r="E13" s="2041"/>
      <c r="F13" s="2041"/>
      <c r="G13" s="2045"/>
      <c r="H13" s="1640"/>
      <c r="I13" s="2047"/>
      <c r="J13" s="2003"/>
      <c r="K13" s="1650"/>
      <c r="L13" s="1990"/>
      <c r="M13" s="1990"/>
      <c r="N13" s="1630"/>
      <c r="O13" s="1990"/>
      <c r="P13" s="2003"/>
      <c r="Q13" s="1631"/>
      <c r="R13" s="1990"/>
      <c r="S13" s="1990"/>
      <c r="T13" s="1632"/>
      <c r="U13" s="1990"/>
      <c r="V13" s="2003"/>
      <c r="W13" s="1633"/>
      <c r="X13" s="1990"/>
      <c r="Y13" s="1990"/>
      <c r="Z13" s="1542"/>
      <c r="AA13" s="1635"/>
      <c r="AB13" s="2050"/>
      <c r="AC13" s="2050"/>
      <c r="AD13" s="2050"/>
      <c r="AE13" s="2050"/>
      <c r="AF13" s="2050"/>
      <c r="AG13" s="2050"/>
      <c r="AH13" s="2050"/>
      <c r="AI13" s="2051"/>
      <c r="AJ13" s="1614"/>
    </row>
    <row customHeight="1" ht="14.25">
      <c r="D14" s="2039"/>
      <c r="E14" s="2041"/>
      <c r="F14" s="2041"/>
      <c r="G14" s="2045"/>
      <c r="H14" s="1640"/>
      <c r="I14" s="2047"/>
      <c r="J14" s="2003"/>
      <c r="K14" s="1650"/>
      <c r="L14" s="1990"/>
      <c r="M14" s="1990"/>
      <c r="N14" s="1630"/>
      <c r="O14" s="1990"/>
      <c r="P14" s="2003"/>
      <c r="Q14" s="1631"/>
      <c r="R14" s="1990"/>
      <c r="S14" s="1990"/>
      <c r="T14" s="1636"/>
      <c r="U14" s="1637"/>
      <c r="V14" s="2050"/>
      <c r="W14" s="2050"/>
      <c r="X14" s="2050"/>
      <c r="Y14" s="2050"/>
      <c r="Z14" s="2050"/>
      <c r="AA14" s="2050"/>
      <c r="AB14" s="2050"/>
      <c r="AC14" s="2050"/>
      <c r="AD14" s="2050"/>
      <c r="AE14" s="2050"/>
      <c r="AF14" s="2050"/>
      <c r="AG14" s="2050"/>
      <c r="AH14" s="2050"/>
      <c r="AI14" s="2051"/>
      <c r="AJ14" s="1614"/>
    </row>
    <row customHeight="1" ht="11.25">
      <c r="D15" s="2039"/>
      <c r="E15" s="2041"/>
      <c r="F15" s="2041"/>
      <c r="G15" s="2045"/>
      <c r="H15" s="1641"/>
      <c r="I15" s="2047"/>
      <c r="J15" s="2003"/>
      <c r="K15" s="1650"/>
      <c r="L15" s="1990"/>
      <c r="M15" s="1990"/>
      <c r="N15" s="1635"/>
      <c r="O15" s="1635"/>
      <c r="P15" s="2050"/>
      <c r="Q15" s="2050"/>
      <c r="R15" s="2050"/>
      <c r="S15" s="2050"/>
      <c r="T15" s="2050"/>
      <c r="U15" s="2050"/>
      <c r="V15" s="2050"/>
      <c r="W15" s="2050"/>
      <c r="X15" s="2050"/>
      <c r="Y15" s="2050"/>
      <c r="Z15" s="2050"/>
      <c r="AA15" s="2050"/>
      <c r="AB15" s="2050"/>
      <c r="AC15" s="2050"/>
      <c r="AD15" s="2050"/>
      <c r="AE15" s="2050"/>
      <c r="AF15" s="2050"/>
      <c r="AG15" s="2050"/>
      <c r="AH15" s="2050"/>
      <c r="AI15" s="2051"/>
      <c r="AJ15" s="1614"/>
    </row>
    <row s="2937" customFormat="1" customHeight="1" ht="11.25">
      <c r="D16" s="2040"/>
      <c r="E16" s="2042"/>
      <c r="F16" s="2043"/>
      <c r="G16" s="1986"/>
      <c r="H16" s="1638"/>
      <c r="I16" s="1642"/>
      <c r="J16" s="2048"/>
      <c r="K16" s="2048"/>
      <c r="L16" s="2048"/>
      <c r="M16" s="2048"/>
      <c r="N16" s="2048"/>
      <c r="O16" s="2048"/>
      <c r="P16" s="2048"/>
      <c r="Q16" s="2048"/>
      <c r="R16" s="2048"/>
      <c r="S16" s="2048"/>
      <c r="T16" s="2048"/>
      <c r="U16" s="2048"/>
      <c r="V16" s="2048"/>
      <c r="W16" s="2048"/>
      <c r="X16" s="2048"/>
      <c r="Y16" s="2048"/>
      <c r="Z16" s="2048"/>
      <c r="AA16" s="2048"/>
      <c r="AB16" s="2048"/>
      <c r="AC16" s="2048"/>
      <c r="AD16" s="2048"/>
      <c r="AE16" s="2048"/>
      <c r="AF16" s="2048"/>
      <c r="AG16" s="2048"/>
      <c r="AH16" s="2048"/>
      <c r="AI16" s="2049"/>
      <c r="AJ16" s="1614"/>
      <c r="AK16" s="295"/>
      <c r="AL16" s="1614"/>
      <c r="AM16" s="1614"/>
      <c r="AN16" s="1614"/>
      <c r="AO16" s="1614"/>
      <c r="AP16" s="1614"/>
      <c r="AQ16" s="1614"/>
      <c r="AR16" s="1614"/>
      <c r="AS16" s="1614"/>
      <c r="AT16" s="1614"/>
      <c r="AU16" s="1614"/>
      <c r="AV16" s="1614"/>
      <c r="AW16" s="1614"/>
      <c r="AX16" s="1614"/>
      <c r="AY16" s="1614"/>
      <c r="AZ16" s="1614"/>
      <c r="BA16" s="1614"/>
      <c r="BB16" s="1614"/>
      <c r="BC16" s="1614"/>
      <c r="BD16" s="1614"/>
      <c r="BE16" s="1614"/>
      <c r="BF16" s="1614"/>
      <c r="BG16" s="1614"/>
      <c r="BH16" s="1614"/>
      <c r="BI16" s="1614"/>
      <c r="BJ16" s="1614"/>
      <c r="BK16" s="1614"/>
      <c r="BL16" s="1614"/>
    </row>
    <row customHeight="1" ht="14.25">
      <c r="D17" s="2039" t="s">
        <v>109</v>
      </c>
      <c r="E17" s="2041" t="s">
        <v>284</v>
      </c>
      <c r="F17" s="2041" t="s">
        <v>286</v>
      </c>
      <c r="G17" s="2044" t="s">
        <v>56</v>
      </c>
      <c r="H17" s="1639"/>
      <c r="I17" s="2046"/>
      <c r="J17" s="2002"/>
      <c r="K17" s="1544"/>
      <c r="L17" s="1989"/>
      <c r="M17" s="1989"/>
      <c r="N17" s="1624"/>
      <c r="O17" s="1989"/>
      <c r="P17" s="2002"/>
      <c r="Q17" s="1625"/>
      <c r="R17" s="1989"/>
      <c r="S17" s="1989"/>
      <c r="T17" s="1626"/>
      <c r="U17" s="1989"/>
      <c r="V17" s="2002"/>
      <c r="W17" s="1627"/>
      <c r="X17" s="1989"/>
      <c r="Y17" s="1989"/>
      <c r="Z17" s="1624"/>
      <c r="AA17" s="1989"/>
      <c r="AB17" s="2002"/>
      <c r="AC17" s="1628"/>
      <c r="AD17" s="1989"/>
      <c r="AE17" s="1989"/>
      <c r="AF17" s="1543"/>
      <c r="AG17" s="1543"/>
      <c r="AH17" s="1629"/>
      <c r="AI17" s="1326"/>
      <c r="AJ17" s="1614"/>
    </row>
    <row customHeight="1" ht="14.25">
      <c r="D18" s="2039"/>
      <c r="E18" s="2041"/>
      <c r="F18" s="2041"/>
      <c r="G18" s="2045"/>
      <c r="H18" s="1640"/>
      <c r="I18" s="2047"/>
      <c r="J18" s="2003"/>
      <c r="K18" s="1623"/>
      <c r="L18" s="1990"/>
      <c r="M18" s="1990"/>
      <c r="N18" s="1630"/>
      <c r="O18" s="1990"/>
      <c r="P18" s="2003"/>
      <c r="Q18" s="1631"/>
      <c r="R18" s="1990"/>
      <c r="S18" s="1990"/>
      <c r="T18" s="1632"/>
      <c r="U18" s="1990"/>
      <c r="V18" s="2003"/>
      <c r="W18" s="1633"/>
      <c r="X18" s="1990"/>
      <c r="Y18" s="1990"/>
      <c r="Z18" s="1630"/>
      <c r="AA18" s="1990"/>
      <c r="AB18" s="2003"/>
      <c r="AC18" s="1634"/>
      <c r="AD18" s="1990"/>
      <c r="AE18" s="1990"/>
      <c r="AF18" s="1635"/>
      <c r="AG18" s="1635"/>
      <c r="AH18" s="2050"/>
      <c r="AI18" s="2051"/>
      <c r="AJ18" s="1614"/>
    </row>
    <row customHeight="1" ht="14.25">
      <c r="D19" s="2039"/>
      <c r="E19" s="2041"/>
      <c r="F19" s="2041"/>
      <c r="G19" s="2045"/>
      <c r="H19" s="1640"/>
      <c r="I19" s="2047"/>
      <c r="J19" s="2003"/>
      <c r="K19" s="1623"/>
      <c r="L19" s="1990"/>
      <c r="M19" s="1990"/>
      <c r="N19" s="1630"/>
      <c r="O19" s="1990"/>
      <c r="P19" s="2003"/>
      <c r="Q19" s="1631"/>
      <c r="R19" s="1990"/>
      <c r="S19" s="1990"/>
      <c r="T19" s="1632"/>
      <c r="U19" s="1990"/>
      <c r="V19" s="2003"/>
      <c r="W19" s="1633"/>
      <c r="X19" s="1990"/>
      <c r="Y19" s="1990"/>
      <c r="Z19" s="1542"/>
      <c r="AA19" s="1635"/>
      <c r="AB19" s="2050"/>
      <c r="AC19" s="2050"/>
      <c r="AD19" s="2050"/>
      <c r="AE19" s="2050"/>
      <c r="AF19" s="2050"/>
      <c r="AG19" s="2050"/>
      <c r="AH19" s="2050"/>
      <c r="AI19" s="2051"/>
      <c r="AJ19" s="1614"/>
    </row>
    <row customHeight="1" ht="14.25">
      <c r="D20" s="2039"/>
      <c r="E20" s="2041"/>
      <c r="F20" s="2041"/>
      <c r="G20" s="2045"/>
      <c r="H20" s="1640"/>
      <c r="I20" s="2047"/>
      <c r="J20" s="2003"/>
      <c r="K20" s="1623"/>
      <c r="L20" s="1990"/>
      <c r="M20" s="1990"/>
      <c r="N20" s="1630"/>
      <c r="O20" s="1990"/>
      <c r="P20" s="2003"/>
      <c r="Q20" s="1631"/>
      <c r="R20" s="1990"/>
      <c r="S20" s="1990"/>
      <c r="T20" s="1636"/>
      <c r="U20" s="1637"/>
      <c r="V20" s="2050"/>
      <c r="W20" s="2050"/>
      <c r="X20" s="2050"/>
      <c r="Y20" s="2050"/>
      <c r="Z20" s="2050"/>
      <c r="AA20" s="2050"/>
      <c r="AB20" s="2050"/>
      <c r="AC20" s="2050"/>
      <c r="AD20" s="2050"/>
      <c r="AE20" s="2050"/>
      <c r="AF20" s="2050"/>
      <c r="AG20" s="2050"/>
      <c r="AH20" s="2050"/>
      <c r="AI20" s="2051"/>
      <c r="AJ20" s="1614"/>
    </row>
    <row customHeight="1" ht="11.25">
      <c r="D21" s="2039"/>
      <c r="E21" s="2041"/>
      <c r="F21" s="2041"/>
      <c r="G21" s="2045"/>
      <c r="H21" s="1641"/>
      <c r="I21" s="2047"/>
      <c r="J21" s="2003"/>
      <c r="K21" s="1623"/>
      <c r="L21" s="1990"/>
      <c r="M21" s="1990"/>
      <c r="N21" s="1635"/>
      <c r="O21" s="1635"/>
      <c r="P21" s="2050"/>
      <c r="Q21" s="2050"/>
      <c r="R21" s="2050"/>
      <c r="S21" s="2050"/>
      <c r="T21" s="2050"/>
      <c r="U21" s="2050"/>
      <c r="V21" s="2050"/>
      <c r="W21" s="2050"/>
      <c r="X21" s="2050"/>
      <c r="Y21" s="2050"/>
      <c r="Z21" s="2050"/>
      <c r="AA21" s="2050"/>
      <c r="AB21" s="2050"/>
      <c r="AC21" s="2050"/>
      <c r="AD21" s="2050"/>
      <c r="AE21" s="2050"/>
      <c r="AF21" s="2050"/>
      <c r="AG21" s="2050"/>
      <c r="AH21" s="2050"/>
      <c r="AI21" s="2051"/>
      <c r="AJ21" s="1614"/>
    </row>
    <row s="2937" customFormat="1" customHeight="1" ht="11.25">
      <c r="D22" s="2040"/>
      <c r="E22" s="2042"/>
      <c r="F22" s="2043"/>
      <c r="G22" s="1986"/>
      <c r="H22" s="1638"/>
      <c r="I22" s="1642"/>
      <c r="J22" s="2048"/>
      <c r="K22" s="2048"/>
      <c r="L22" s="2048"/>
      <c r="M22" s="2048"/>
      <c r="N22" s="2048"/>
      <c r="O22" s="2048"/>
      <c r="P22" s="2048"/>
      <c r="Q22" s="2048"/>
      <c r="R22" s="2048"/>
      <c r="S22" s="2048"/>
      <c r="T22" s="2048"/>
      <c r="U22" s="2048"/>
      <c r="V22" s="2048"/>
      <c r="W22" s="2048"/>
      <c r="X22" s="2048"/>
      <c r="Y22" s="2048"/>
      <c r="Z22" s="2048"/>
      <c r="AA22" s="2048"/>
      <c r="AB22" s="2048"/>
      <c r="AC22" s="2048"/>
      <c r="AD22" s="2048"/>
      <c r="AE22" s="2048"/>
      <c r="AF22" s="2048"/>
      <c r="AG22" s="2048"/>
      <c r="AH22" s="2048"/>
      <c r="AI22" s="2049"/>
      <c r="AJ22" s="1614"/>
      <c r="AK22" s="295"/>
      <c r="AL22" s="1614"/>
      <c r="AM22" s="1614"/>
      <c r="AN22" s="1614"/>
      <c r="AO22" s="1614"/>
      <c r="AP22" s="1614"/>
      <c r="AQ22" s="1614"/>
      <c r="AR22" s="1614"/>
      <c r="AS22" s="1614"/>
      <c r="AT22" s="1614"/>
      <c r="AU22" s="1614"/>
      <c r="AV22" s="1614"/>
      <c r="AW22" s="1614"/>
      <c r="AX22" s="1614"/>
      <c r="AY22" s="1614"/>
      <c r="AZ22" s="1614"/>
      <c r="BA22" s="1614"/>
      <c r="BB22" s="1614"/>
      <c r="BC22" s="1614"/>
      <c r="BD22" s="1614"/>
      <c r="BE22" s="1614"/>
      <c r="BF22" s="1614"/>
      <c r="BG22" s="1614"/>
      <c r="BH22" s="1614"/>
      <c r="BI22" s="1614"/>
      <c r="BJ22" s="1614"/>
      <c r="BK22" s="1614"/>
      <c r="BL22" s="1614"/>
    </row>
    <row customHeight="1" ht="14.25">
      <c r="D23" s="2039" t="s">
        <v>89</v>
      </c>
      <c r="E23" s="2041" t="s">
        <v>284</v>
      </c>
      <c r="F23" s="2041" t="s">
        <v>287</v>
      </c>
      <c r="G23" s="2044" t="s">
        <v>56</v>
      </c>
      <c r="H23" s="1639"/>
      <c r="I23" s="2046"/>
      <c r="J23" s="2002"/>
      <c r="K23" s="1544"/>
      <c r="L23" s="1989"/>
      <c r="M23" s="1989"/>
      <c r="N23" s="1624"/>
      <c r="O23" s="1989"/>
      <c r="P23" s="2002"/>
      <c r="Q23" s="1625"/>
      <c r="R23" s="1989"/>
      <c r="S23" s="1989"/>
      <c r="T23" s="1626"/>
      <c r="U23" s="1989"/>
      <c r="V23" s="2002"/>
      <c r="W23" s="1627"/>
      <c r="X23" s="1989"/>
      <c r="Y23" s="1989"/>
      <c r="Z23" s="1624"/>
      <c r="AA23" s="1989"/>
      <c r="AB23" s="2002"/>
      <c r="AC23" s="1628"/>
      <c r="AD23" s="1989"/>
      <c r="AE23" s="1989"/>
      <c r="AF23" s="1543"/>
      <c r="AG23" s="1543"/>
      <c r="AH23" s="1629"/>
      <c r="AI23" s="1326"/>
      <c r="AJ23" s="1614"/>
      <c r="AK23" s="295" t="s">
        <v>97</v>
      </c>
    </row>
    <row customHeight="1" ht="14.25">
      <c r="D24" s="2039"/>
      <c r="E24" s="2041"/>
      <c r="F24" s="2041"/>
      <c r="G24" s="2045"/>
      <c r="H24" s="1640"/>
      <c r="I24" s="2047"/>
      <c r="J24" s="2003"/>
      <c r="K24" s="1650"/>
      <c r="L24" s="1990"/>
      <c r="M24" s="1990"/>
      <c r="N24" s="1630"/>
      <c r="O24" s="1990"/>
      <c r="P24" s="2003"/>
      <c r="Q24" s="1631"/>
      <c r="R24" s="1990"/>
      <c r="S24" s="1990"/>
      <c r="T24" s="1632"/>
      <c r="U24" s="1990"/>
      <c r="V24" s="2003"/>
      <c r="W24" s="1633"/>
      <c r="X24" s="1990"/>
      <c r="Y24" s="1990"/>
      <c r="Z24" s="1630"/>
      <c r="AA24" s="1990"/>
      <c r="AB24" s="2003"/>
      <c r="AC24" s="1634"/>
      <c r="AD24" s="1990"/>
      <c r="AE24" s="1990"/>
      <c r="AF24" s="1635"/>
      <c r="AG24" s="1635"/>
      <c r="AH24" s="2050"/>
      <c r="AI24" s="2051"/>
      <c r="AJ24" s="1614"/>
    </row>
    <row customHeight="1" ht="14.25">
      <c r="D25" s="2039"/>
      <c r="E25" s="2041"/>
      <c r="F25" s="2041"/>
      <c r="G25" s="2045"/>
      <c r="H25" s="1640"/>
      <c r="I25" s="2047"/>
      <c r="J25" s="2003"/>
      <c r="K25" s="1650"/>
      <c r="L25" s="1990"/>
      <c r="M25" s="1990"/>
      <c r="N25" s="1630"/>
      <c r="O25" s="1990"/>
      <c r="P25" s="2003"/>
      <c r="Q25" s="1631"/>
      <c r="R25" s="1990"/>
      <c r="S25" s="1990"/>
      <c r="T25" s="1632"/>
      <c r="U25" s="1990"/>
      <c r="V25" s="2003"/>
      <c r="W25" s="1633"/>
      <c r="X25" s="1990"/>
      <c r="Y25" s="1990"/>
      <c r="Z25" s="1542"/>
      <c r="AA25" s="1635"/>
      <c r="AB25" s="2050"/>
      <c r="AC25" s="2050"/>
      <c r="AD25" s="2050"/>
      <c r="AE25" s="2050"/>
      <c r="AF25" s="2050"/>
      <c r="AG25" s="2050"/>
      <c r="AH25" s="2050"/>
      <c r="AI25" s="2051"/>
      <c r="AJ25" s="1614"/>
    </row>
    <row customHeight="1" ht="14.25">
      <c r="D26" s="2039"/>
      <c r="E26" s="2041"/>
      <c r="F26" s="2041"/>
      <c r="G26" s="2045"/>
      <c r="H26" s="1640"/>
      <c r="I26" s="2047"/>
      <c r="J26" s="2003"/>
      <c r="K26" s="1650"/>
      <c r="L26" s="1990"/>
      <c r="M26" s="1990"/>
      <c r="N26" s="1630"/>
      <c r="O26" s="1990"/>
      <c r="P26" s="2003"/>
      <c r="Q26" s="1631"/>
      <c r="R26" s="1990"/>
      <c r="S26" s="1990"/>
      <c r="T26" s="1636"/>
      <c r="U26" s="1637"/>
      <c r="V26" s="2050"/>
      <c r="W26" s="2050"/>
      <c r="X26" s="2050"/>
      <c r="Y26" s="2050"/>
      <c r="Z26" s="2050"/>
      <c r="AA26" s="2050"/>
      <c r="AB26" s="2050"/>
      <c r="AC26" s="2050"/>
      <c r="AD26" s="2050"/>
      <c r="AE26" s="2050"/>
      <c r="AF26" s="2050"/>
      <c r="AG26" s="2050"/>
      <c r="AH26" s="2050"/>
      <c r="AI26" s="2051"/>
      <c r="AJ26" s="1614"/>
    </row>
    <row customHeight="1" ht="11.25">
      <c r="D27" s="2039"/>
      <c r="E27" s="2041"/>
      <c r="F27" s="2041"/>
      <c r="G27" s="2045"/>
      <c r="H27" s="1641"/>
      <c r="I27" s="2047"/>
      <c r="J27" s="2003"/>
      <c r="K27" s="1650"/>
      <c r="L27" s="1990"/>
      <c r="M27" s="1990"/>
      <c r="N27" s="1635"/>
      <c r="O27" s="1635"/>
      <c r="P27" s="2050"/>
      <c r="Q27" s="2050"/>
      <c r="R27" s="2050"/>
      <c r="S27" s="2050"/>
      <c r="T27" s="2050"/>
      <c r="U27" s="2050"/>
      <c r="V27" s="2050"/>
      <c r="W27" s="2050"/>
      <c r="X27" s="2050"/>
      <c r="Y27" s="2050"/>
      <c r="Z27" s="2050"/>
      <c r="AA27" s="2050"/>
      <c r="AB27" s="2050"/>
      <c r="AC27" s="2050"/>
      <c r="AD27" s="2050"/>
      <c r="AE27" s="2050"/>
      <c r="AF27" s="2050"/>
      <c r="AG27" s="2050"/>
      <c r="AH27" s="2050"/>
      <c r="AI27" s="2051"/>
      <c r="AJ27" s="1614"/>
    </row>
    <row s="2937" customFormat="1" customHeight="1" ht="11.25">
      <c r="D28" s="2040"/>
      <c r="E28" s="2042"/>
      <c r="F28" s="2043"/>
      <c r="G28" s="1986"/>
      <c r="H28" s="1638"/>
      <c r="I28" s="1642"/>
      <c r="J28" s="2048"/>
      <c r="K28" s="2048"/>
      <c r="L28" s="2048"/>
      <c r="M28" s="2048"/>
      <c r="N28" s="2048"/>
      <c r="O28" s="2048"/>
      <c r="P28" s="2048"/>
      <c r="Q28" s="2048"/>
      <c r="R28" s="2048"/>
      <c r="S28" s="2048"/>
      <c r="T28" s="2048"/>
      <c r="U28" s="2048"/>
      <c r="V28" s="2048"/>
      <c r="W28" s="2048"/>
      <c r="X28" s="2048"/>
      <c r="Y28" s="2048"/>
      <c r="Z28" s="2048"/>
      <c r="AA28" s="2048"/>
      <c r="AB28" s="2048"/>
      <c r="AC28" s="2048"/>
      <c r="AD28" s="2048"/>
      <c r="AE28" s="2048"/>
      <c r="AF28" s="2048"/>
      <c r="AG28" s="2048"/>
      <c r="AH28" s="2048"/>
      <c r="AI28" s="2049"/>
      <c r="AJ28" s="1614"/>
      <c r="AK28" s="295"/>
      <c r="AL28" s="1614"/>
      <c r="AM28" s="1614"/>
      <c r="AN28" s="1614"/>
      <c r="AO28" s="1614"/>
      <c r="AP28" s="1614"/>
      <c r="AQ28" s="1614"/>
      <c r="AR28" s="1614"/>
      <c r="AS28" s="1614"/>
      <c r="AT28" s="1614"/>
      <c r="AU28" s="1614"/>
      <c r="AV28" s="1614"/>
      <c r="AW28" s="1614"/>
      <c r="AX28" s="1614"/>
      <c r="AY28" s="1614"/>
      <c r="AZ28" s="1614"/>
      <c r="BA28" s="1614"/>
      <c r="BB28" s="1614"/>
      <c r="BC28" s="1614"/>
      <c r="BD28" s="1614"/>
      <c r="BE28" s="1614"/>
      <c r="BF28" s="1614"/>
      <c r="BG28" s="1614"/>
      <c r="BH28" s="1614"/>
      <c r="BI28" s="1614"/>
      <c r="BJ28" s="1614"/>
      <c r="BK28" s="1614"/>
      <c r="BL28" s="1614"/>
    </row>
    <row customHeight="1" ht="14.25">
      <c r="D29" s="2039" t="s">
        <v>90</v>
      </c>
      <c r="E29" s="2041" t="s">
        <v>284</v>
      </c>
      <c r="F29" s="2041" t="s">
        <v>288</v>
      </c>
      <c r="G29" s="2044" t="s">
        <v>56</v>
      </c>
      <c r="H29" s="1639"/>
      <c r="I29" s="2046"/>
      <c r="J29" s="2002"/>
      <c r="K29" s="1544"/>
      <c r="L29" s="1989"/>
      <c r="M29" s="1989"/>
      <c r="N29" s="1624"/>
      <c r="O29" s="1989"/>
      <c r="P29" s="2002"/>
      <c r="Q29" s="1625"/>
      <c r="R29" s="1989"/>
      <c r="S29" s="1989"/>
      <c r="T29" s="1626"/>
      <c r="U29" s="1989"/>
      <c r="V29" s="2002"/>
      <c r="W29" s="1627"/>
      <c r="X29" s="1989"/>
      <c r="Y29" s="1989"/>
      <c r="Z29" s="1624"/>
      <c r="AA29" s="1989"/>
      <c r="AB29" s="2002"/>
      <c r="AC29" s="1628"/>
      <c r="AD29" s="1989"/>
      <c r="AE29" s="1989"/>
      <c r="AF29" s="1543"/>
      <c r="AG29" s="1543"/>
      <c r="AH29" s="1629"/>
      <c r="AI29" s="1326"/>
      <c r="AJ29" s="1614"/>
    </row>
    <row customHeight="1" ht="14.25">
      <c r="D30" s="2039"/>
      <c r="E30" s="2041"/>
      <c r="F30" s="2041"/>
      <c r="G30" s="2045"/>
      <c r="H30" s="1640"/>
      <c r="I30" s="2047"/>
      <c r="J30" s="2003"/>
      <c r="K30" s="1623"/>
      <c r="L30" s="1990"/>
      <c r="M30" s="1990"/>
      <c r="N30" s="1630"/>
      <c r="O30" s="1990"/>
      <c r="P30" s="2003"/>
      <c r="Q30" s="1631"/>
      <c r="R30" s="1990"/>
      <c r="S30" s="1990"/>
      <c r="T30" s="1632"/>
      <c r="U30" s="1990"/>
      <c r="V30" s="2003"/>
      <c r="W30" s="1633"/>
      <c r="X30" s="1990"/>
      <c r="Y30" s="1990"/>
      <c r="Z30" s="1630"/>
      <c r="AA30" s="1990"/>
      <c r="AB30" s="2003"/>
      <c r="AC30" s="1634"/>
      <c r="AD30" s="1990"/>
      <c r="AE30" s="1990"/>
      <c r="AF30" s="1635"/>
      <c r="AG30" s="1635"/>
      <c r="AH30" s="2050"/>
      <c r="AI30" s="2051"/>
      <c r="AJ30" s="1614"/>
    </row>
    <row customHeight="1" ht="14.25">
      <c r="D31" s="2039"/>
      <c r="E31" s="2041"/>
      <c r="F31" s="2041"/>
      <c r="G31" s="2045"/>
      <c r="H31" s="1640"/>
      <c r="I31" s="2047"/>
      <c r="J31" s="2003"/>
      <c r="K31" s="1623"/>
      <c r="L31" s="1990"/>
      <c r="M31" s="1990"/>
      <c r="N31" s="1630"/>
      <c r="O31" s="1990"/>
      <c r="P31" s="2003"/>
      <c r="Q31" s="1631"/>
      <c r="R31" s="1990"/>
      <c r="S31" s="1990"/>
      <c r="T31" s="1632"/>
      <c r="U31" s="1990"/>
      <c r="V31" s="2003"/>
      <c r="W31" s="1633"/>
      <c r="X31" s="1990"/>
      <c r="Y31" s="1990"/>
      <c r="Z31" s="1542"/>
      <c r="AA31" s="1635"/>
      <c r="AB31" s="2050"/>
      <c r="AC31" s="2050"/>
      <c r="AD31" s="2050"/>
      <c r="AE31" s="2050"/>
      <c r="AF31" s="2050"/>
      <c r="AG31" s="2050"/>
      <c r="AH31" s="2050"/>
      <c r="AI31" s="2051"/>
      <c r="AJ31" s="1614"/>
    </row>
    <row customHeight="1" ht="14.25">
      <c r="D32" s="2039"/>
      <c r="E32" s="2041"/>
      <c r="F32" s="2041"/>
      <c r="G32" s="2045"/>
      <c r="H32" s="1640"/>
      <c r="I32" s="2047"/>
      <c r="J32" s="2003"/>
      <c r="K32" s="1623"/>
      <c r="L32" s="1990"/>
      <c r="M32" s="1990"/>
      <c r="N32" s="1630"/>
      <c r="O32" s="1990"/>
      <c r="P32" s="2003"/>
      <c r="Q32" s="1631"/>
      <c r="R32" s="1990"/>
      <c r="S32" s="1990"/>
      <c r="T32" s="1636"/>
      <c r="U32" s="1637"/>
      <c r="V32" s="2050"/>
      <c r="W32" s="2050"/>
      <c r="X32" s="2050"/>
      <c r="Y32" s="2050"/>
      <c r="Z32" s="2050"/>
      <c r="AA32" s="2050"/>
      <c r="AB32" s="2050"/>
      <c r="AC32" s="2050"/>
      <c r="AD32" s="2050"/>
      <c r="AE32" s="2050"/>
      <c r="AF32" s="2050"/>
      <c r="AG32" s="2050"/>
      <c r="AH32" s="2050"/>
      <c r="AI32" s="2051"/>
      <c r="AJ32" s="1614"/>
    </row>
    <row customHeight="1" ht="11.25">
      <c r="D33" s="2039"/>
      <c r="E33" s="2041"/>
      <c r="F33" s="2041"/>
      <c r="G33" s="2045"/>
      <c r="H33" s="1641"/>
      <c r="I33" s="2047"/>
      <c r="J33" s="2003"/>
      <c r="K33" s="1623"/>
      <c r="L33" s="1990"/>
      <c r="M33" s="1990"/>
      <c r="N33" s="1635"/>
      <c r="O33" s="1635"/>
      <c r="P33" s="2050"/>
      <c r="Q33" s="2050"/>
      <c r="R33" s="2050"/>
      <c r="S33" s="2050"/>
      <c r="T33" s="2050"/>
      <c r="U33" s="2050"/>
      <c r="V33" s="2050"/>
      <c r="W33" s="2050"/>
      <c r="X33" s="2050"/>
      <c r="Y33" s="2050"/>
      <c r="Z33" s="2050"/>
      <c r="AA33" s="2050"/>
      <c r="AB33" s="2050"/>
      <c r="AC33" s="2050"/>
      <c r="AD33" s="2050"/>
      <c r="AE33" s="2050"/>
      <c r="AF33" s="2050"/>
      <c r="AG33" s="2050"/>
      <c r="AH33" s="2050"/>
      <c r="AI33" s="2051"/>
      <c r="AJ33" s="1614"/>
    </row>
    <row s="2937" customFormat="1" customHeight="1" ht="11.25">
      <c r="D34" s="2040"/>
      <c r="E34" s="2042"/>
      <c r="F34" s="2043"/>
      <c r="G34" s="1986"/>
      <c r="H34" s="1638"/>
      <c r="I34" s="1642"/>
      <c r="J34" s="2048"/>
      <c r="K34" s="2048"/>
      <c r="L34" s="2048"/>
      <c r="M34" s="2048"/>
      <c r="N34" s="2048"/>
      <c r="O34" s="2048"/>
      <c r="P34" s="2048"/>
      <c r="Q34" s="2048"/>
      <c r="R34" s="2048"/>
      <c r="S34" s="2048"/>
      <c r="T34" s="2048"/>
      <c r="U34" s="2048"/>
      <c r="V34" s="2048"/>
      <c r="W34" s="2048"/>
      <c r="X34" s="2048"/>
      <c r="Y34" s="2048"/>
      <c r="Z34" s="2048"/>
      <c r="AA34" s="2048"/>
      <c r="AB34" s="2048"/>
      <c r="AC34" s="2048"/>
      <c r="AD34" s="2048"/>
      <c r="AE34" s="2048"/>
      <c r="AF34" s="2048"/>
      <c r="AG34" s="2048"/>
      <c r="AH34" s="2048"/>
      <c r="AI34" s="2049"/>
      <c r="AJ34" s="1614"/>
      <c r="AK34" s="295"/>
      <c r="AL34" s="1614"/>
      <c r="AM34" s="1614"/>
      <c r="AN34" s="1614"/>
      <c r="AO34" s="1614"/>
      <c r="AP34" s="1614"/>
      <c r="AQ34" s="1614"/>
      <c r="AR34" s="1614"/>
      <c r="AS34" s="1614"/>
      <c r="AT34" s="1614"/>
      <c r="AU34" s="1614"/>
      <c r="AV34" s="1614"/>
      <c r="AW34" s="1614"/>
      <c r="AX34" s="1614"/>
      <c r="AY34" s="1614"/>
      <c r="AZ34" s="1614"/>
      <c r="BA34" s="1614"/>
      <c r="BB34" s="1614"/>
      <c r="BC34" s="1614"/>
      <c r="BD34" s="1614"/>
      <c r="BE34" s="1614"/>
      <c r="BF34" s="1614"/>
      <c r="BG34" s="1614"/>
      <c r="BH34" s="1614"/>
      <c r="BI34" s="1614"/>
      <c r="BJ34" s="1614"/>
      <c r="BK34" s="1614"/>
      <c r="BL34" s="1614"/>
    </row>
    <row customHeight="1" ht="14.25">
      <c r="D35" s="2039" t="s">
        <v>110</v>
      </c>
      <c r="E35" s="2041" t="s">
        <v>284</v>
      </c>
      <c r="F35" s="2041" t="s">
        <v>289</v>
      </c>
      <c r="G35" s="2044" t="s">
        <v>56</v>
      </c>
      <c r="H35" s="1639"/>
      <c r="I35" s="2046"/>
      <c r="J35" s="2002"/>
      <c r="K35" s="1544"/>
      <c r="L35" s="1989"/>
      <c r="M35" s="1989"/>
      <c r="N35" s="1624"/>
      <c r="O35" s="1989"/>
      <c r="P35" s="2002"/>
      <c r="Q35" s="1625"/>
      <c r="R35" s="1989"/>
      <c r="S35" s="1989"/>
      <c r="T35" s="1626"/>
      <c r="U35" s="1989"/>
      <c r="V35" s="2002"/>
      <c r="W35" s="1627"/>
      <c r="X35" s="1989"/>
      <c r="Y35" s="1989"/>
      <c r="Z35" s="1624"/>
      <c r="AA35" s="1989"/>
      <c r="AB35" s="2002"/>
      <c r="AC35" s="1628"/>
      <c r="AD35" s="1989"/>
      <c r="AE35" s="1989"/>
      <c r="AF35" s="1543"/>
      <c r="AG35" s="1543"/>
      <c r="AH35" s="1629"/>
      <c r="AI35" s="1326"/>
      <c r="AJ35" s="1614"/>
    </row>
    <row customHeight="1" ht="14.25">
      <c r="D36" s="2039"/>
      <c r="E36" s="2041"/>
      <c r="F36" s="2041"/>
      <c r="G36" s="2045"/>
      <c r="H36" s="1640"/>
      <c r="I36" s="2047"/>
      <c r="J36" s="2003"/>
      <c r="K36" s="1623"/>
      <c r="L36" s="1990"/>
      <c r="M36" s="1990"/>
      <c r="N36" s="1630"/>
      <c r="O36" s="1990"/>
      <c r="P36" s="2003"/>
      <c r="Q36" s="1631"/>
      <c r="R36" s="1990"/>
      <c r="S36" s="1990"/>
      <c r="T36" s="1632"/>
      <c r="U36" s="1990"/>
      <c r="V36" s="2003"/>
      <c r="W36" s="1633"/>
      <c r="X36" s="1990"/>
      <c r="Y36" s="1990"/>
      <c r="Z36" s="1630"/>
      <c r="AA36" s="1990"/>
      <c r="AB36" s="2003"/>
      <c r="AC36" s="1634"/>
      <c r="AD36" s="1990"/>
      <c r="AE36" s="1990"/>
      <c r="AF36" s="1635"/>
      <c r="AG36" s="1635"/>
      <c r="AH36" s="2050"/>
      <c r="AI36" s="2051"/>
      <c r="AJ36" s="1614"/>
    </row>
    <row customHeight="1" ht="14.25">
      <c r="D37" s="2039"/>
      <c r="E37" s="2041"/>
      <c r="F37" s="2041"/>
      <c r="G37" s="2045"/>
      <c r="H37" s="1640"/>
      <c r="I37" s="2047"/>
      <c r="J37" s="2003"/>
      <c r="K37" s="1623"/>
      <c r="L37" s="1990"/>
      <c r="M37" s="1990"/>
      <c r="N37" s="1630"/>
      <c r="O37" s="1990"/>
      <c r="P37" s="2003"/>
      <c r="Q37" s="1631"/>
      <c r="R37" s="1990"/>
      <c r="S37" s="1990"/>
      <c r="T37" s="1632"/>
      <c r="U37" s="1990"/>
      <c r="V37" s="2003"/>
      <c r="W37" s="1633"/>
      <c r="X37" s="1990"/>
      <c r="Y37" s="1990"/>
      <c r="Z37" s="1542"/>
      <c r="AA37" s="1635"/>
      <c r="AB37" s="2050"/>
      <c r="AC37" s="2050"/>
      <c r="AD37" s="2050"/>
      <c r="AE37" s="2050"/>
      <c r="AF37" s="2050"/>
      <c r="AG37" s="2050"/>
      <c r="AH37" s="2050"/>
      <c r="AI37" s="2051"/>
      <c r="AJ37" s="1614"/>
    </row>
    <row customHeight="1" ht="14.25">
      <c r="D38" s="2039"/>
      <c r="E38" s="2041"/>
      <c r="F38" s="2041"/>
      <c r="G38" s="2045"/>
      <c r="H38" s="1640"/>
      <c r="I38" s="2047"/>
      <c r="J38" s="2003"/>
      <c r="K38" s="1623"/>
      <c r="L38" s="1990"/>
      <c r="M38" s="1990"/>
      <c r="N38" s="1630"/>
      <c r="O38" s="1990"/>
      <c r="P38" s="2003"/>
      <c r="Q38" s="1631"/>
      <c r="R38" s="1990"/>
      <c r="S38" s="1990"/>
      <c r="T38" s="1636"/>
      <c r="U38" s="1637"/>
      <c r="V38" s="2050"/>
      <c r="W38" s="2050"/>
      <c r="X38" s="2050"/>
      <c r="Y38" s="2050"/>
      <c r="Z38" s="2050"/>
      <c r="AA38" s="2050"/>
      <c r="AB38" s="2050"/>
      <c r="AC38" s="2050"/>
      <c r="AD38" s="2050"/>
      <c r="AE38" s="2050"/>
      <c r="AF38" s="2050"/>
      <c r="AG38" s="2050"/>
      <c r="AH38" s="2050"/>
      <c r="AI38" s="2051"/>
      <c r="AJ38" s="1614"/>
    </row>
    <row customHeight="1" ht="11.25">
      <c r="D39" s="2039"/>
      <c r="E39" s="2041"/>
      <c r="F39" s="2041"/>
      <c r="G39" s="2045"/>
      <c r="H39" s="1641"/>
      <c r="I39" s="2047"/>
      <c r="J39" s="2003"/>
      <c r="K39" s="1623"/>
      <c r="L39" s="1990"/>
      <c r="M39" s="1990"/>
      <c r="N39" s="1635"/>
      <c r="O39" s="1635"/>
      <c r="P39" s="2050"/>
      <c r="Q39" s="2050"/>
      <c r="R39" s="2050"/>
      <c r="S39" s="2050"/>
      <c r="T39" s="2050"/>
      <c r="U39" s="2050"/>
      <c r="V39" s="2050"/>
      <c r="W39" s="2050"/>
      <c r="X39" s="2050"/>
      <c r="Y39" s="2050"/>
      <c r="Z39" s="2050"/>
      <c r="AA39" s="2050"/>
      <c r="AB39" s="2050"/>
      <c r="AC39" s="2050"/>
      <c r="AD39" s="2050"/>
      <c r="AE39" s="2050"/>
      <c r="AF39" s="2050"/>
      <c r="AG39" s="2050"/>
      <c r="AH39" s="2050"/>
      <c r="AI39" s="2051"/>
      <c r="AJ39" s="1614"/>
    </row>
    <row s="2937" customFormat="1" customHeight="1" ht="11.25">
      <c r="D40" s="2039"/>
      <c r="E40" s="2041"/>
      <c r="F40" s="2052"/>
      <c r="G40" s="1986"/>
      <c r="H40" s="1638"/>
      <c r="I40" s="1642"/>
      <c r="J40" s="2048"/>
      <c r="K40" s="2048"/>
      <c r="L40" s="2048"/>
      <c r="M40" s="2048"/>
      <c r="N40" s="2048"/>
      <c r="O40" s="2048"/>
      <c r="P40" s="2048"/>
      <c r="Q40" s="2048"/>
      <c r="R40" s="2048"/>
      <c r="S40" s="2048"/>
      <c r="T40" s="2048"/>
      <c r="U40" s="2048"/>
      <c r="V40" s="2048"/>
      <c r="W40" s="2048"/>
      <c r="X40" s="2048"/>
      <c r="Y40" s="2048"/>
      <c r="Z40" s="2048"/>
      <c r="AA40" s="2048"/>
      <c r="AB40" s="2048"/>
      <c r="AC40" s="2048"/>
      <c r="AD40" s="2048"/>
      <c r="AE40" s="2048"/>
      <c r="AF40" s="2048"/>
      <c r="AG40" s="2048"/>
      <c r="AH40" s="2048"/>
      <c r="AI40" s="2049"/>
      <c r="AJ40" s="1614"/>
      <c r="AK40" s="295"/>
      <c r="AL40" s="1614"/>
      <c r="AM40" s="1614"/>
      <c r="AN40" s="1614"/>
      <c r="AO40" s="1614"/>
      <c r="AP40" s="1614"/>
      <c r="AQ40" s="1614"/>
      <c r="AR40" s="1614"/>
      <c r="AS40" s="1614"/>
      <c r="AT40" s="1614"/>
      <c r="AU40" s="1614"/>
      <c r="AV40" s="1614"/>
      <c r="AW40" s="1614"/>
      <c r="AX40" s="1614"/>
      <c r="AY40" s="1614"/>
      <c r="AZ40" s="1614"/>
      <c r="BA40" s="1614"/>
      <c r="BB40" s="1614"/>
      <c r="BC40" s="1614"/>
      <c r="BD40" s="1614"/>
      <c r="BE40" s="1614"/>
      <c r="BF40" s="1614"/>
      <c r="BG40" s="1614"/>
      <c r="BH40" s="1614"/>
      <c r="BI40" s="1614"/>
      <c r="BJ40" s="1614"/>
      <c r="BK40" s="1614"/>
      <c r="BL40" s="1614"/>
    </row>
    <row customHeight="1" ht="11.25">
      <c r="AK41" s="429"/>
    </row>
    <row customHeight="1" ht="11.25">
      <c r="AK42" s="429"/>
    </row>
    <row customHeight="1" ht="11.25">
      <c r="AK43" s="429"/>
    </row>
    <row customHeight="1" ht="11.25">
      <c r="AK44" s="429"/>
    </row>
    <row customHeight="1" ht="11.25">
      <c r="AK45" s="429"/>
    </row>
    <row customHeight="1" ht="11.25">
      <c r="AK46" s="429"/>
    </row>
    <row customHeight="1" ht="11.25">
      <c r="AK47" s="429"/>
    </row>
    <row customHeight="1" ht="11.25">
      <c r="AK48" s="429"/>
    </row>
    <row customHeight="1" ht="11.25">
      <c r="AK49" s="429"/>
    </row>
  </sheetData>
  <sheetProtection formatColumns="0" formatRows="0" autoFilter="0" sort="0" insertRows="0" insertColumns="1" deleteRows="0" deleteColumns="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0822C8-8ABF-1529-F488-D4602C63A3A4}"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2941" width="10.57421875"/>
    <col min="2" max="2" style="2941" width="11.00390625" customWidth="1"/>
    <col min="3" max="3" style="2941" width="10.57421875"/>
    <col min="4" max="4" style="2941" width="11.8515625" customWidth="1"/>
    <col min="5" max="5" style="2941" width="12.28125" customWidth="1"/>
    <col min="6" max="8" style="5277" width="12.28125" customWidth="1"/>
    <col min="9" max="9" style="5277" width="3.7109375" customWidth="1"/>
    <col min="10" max="11" style="3372" width="3.7109375" customWidth="1"/>
    <col min="12" max="12" style="3373" width="12.7109375" customWidth="1"/>
    <col min="13" max="13" style="2941" width="32.00390625" customWidth="1"/>
    <col min="14" max="14" style="2941" width="1.7109375" customWidth="1"/>
    <col min="15" max="18" style="2941" width="24.7109375" customWidth="1"/>
    <col min="19" max="19" style="2941" width="11.7109375" customWidth="1"/>
    <col min="20" max="20" style="2941" width="3.7109375" customWidth="1"/>
    <col min="21" max="21" style="2941" width="11.7109375" customWidth="1"/>
    <col min="22" max="22" style="2941" width="8.57421875" customWidth="1"/>
    <col min="23" max="23" style="2941" width="4.7109375" customWidth="1"/>
    <col min="24" max="24" style="2941" width="115.7109375" customWidth="1"/>
    <col min="25" max="26" style="2612" width="10.57421875"/>
    <col min="27" max="27" style="2612" width="11.140625" customWidth="1"/>
    <col min="28" max="29" style="2612" width="10.57421875"/>
  </cols>
  <sheetData>
    <row customHeight="1" ht="14.25" hidden="1">
      <c r="R1" s="323"/>
      <c r="S1" s="323"/>
    </row>
    <row customHeight="1" ht="14.25" hidden="1">
      <c r="V2" s="323"/>
    </row>
    <row customHeight="1" ht="14.25" hidden="1"/>
    <row customHeight="1" ht="14.25">
      <c r="J4" s="377"/>
      <c r="K4" s="377"/>
      <c r="L4" s="1305"/>
      <c r="M4" s="361"/>
      <c r="N4" s="361"/>
      <c r="O4" s="515"/>
      <c r="P4" s="515"/>
      <c r="Q4" s="515"/>
      <c r="R4" s="515"/>
      <c r="S4" s="515"/>
      <c r="T4" s="515"/>
      <c r="U4" s="515"/>
      <c r="V4" s="515"/>
    </row>
    <row customHeight="1" ht="64.5">
      <c r="J5" s="377"/>
      <c r="K5" s="377"/>
      <c r="L5" s="2441" t="s">
        <v>2142</v>
      </c>
      <c r="M5" s="2441"/>
      <c r="N5" s="2441"/>
      <c r="O5" s="2441"/>
      <c r="P5" s="2441"/>
      <c r="Q5" s="2441"/>
      <c r="R5" s="2441"/>
      <c r="S5" s="2441"/>
      <c r="T5" s="2441"/>
      <c r="U5" s="2441"/>
      <c r="V5" s="1261"/>
    </row>
    <row customHeight="1" ht="14.25">
      <c r="J6" s="377"/>
      <c r="K6" s="377"/>
      <c r="L6" s="2442" t="str">
        <f>IF(org=0,"Не определено",org)</f>
        <v>МУП г. Азова "Теплоэнерго"</v>
      </c>
      <c r="M6" s="2442"/>
      <c r="N6" s="2442"/>
      <c r="O6" s="2442"/>
      <c r="P6" s="2442"/>
      <c r="Q6" s="2442"/>
      <c r="R6" s="2442"/>
      <c r="S6" s="2442"/>
      <c r="T6" s="2442"/>
      <c r="U6" s="2442"/>
      <c r="V6" s="1261"/>
    </row>
    <row customHeight="1" ht="14.25">
      <c r="J7" s="377"/>
      <c r="K7" s="377"/>
      <c r="L7" s="1305"/>
      <c r="M7" s="361"/>
      <c r="N7" s="361"/>
      <c r="O7" s="316"/>
      <c r="P7" s="316"/>
      <c r="Q7" s="316"/>
      <c r="R7" s="316"/>
      <c r="S7" s="316"/>
      <c r="T7" s="316"/>
      <c r="U7" s="316"/>
      <c r="V7" s="316"/>
      <c r="W7" s="515"/>
    </row>
    <row s="3306" customFormat="1" customHeight="1" ht="45">
      <c r="F8" s="1267"/>
      <c r="G8" s="1267"/>
      <c r="H8" s="1267"/>
      <c r="L8" s="1306"/>
      <c r="M8" s="283" t="s">
        <v>38</v>
      </c>
      <c r="N8" s="292"/>
      <c r="O8" s="2100" t="str">
        <f>IF(TITLE_NAME_OR_PR_CHANGE="",IF(TITLE_NAME_OR_PR="","",TITLE_NAME_OR_PR),TITLE_NAME_OR_PR_CHANGE)</f>
        <v>Региональная служба по тарифам Ростовской области</v>
      </c>
      <c r="P8" s="2100"/>
      <c r="Q8" s="2100"/>
      <c r="R8" s="2100"/>
      <c r="S8" s="2100"/>
      <c r="T8" s="2100"/>
      <c r="U8" s="2100"/>
      <c r="V8" s="322"/>
      <c r="W8" s="322"/>
      <c r="X8" s="268"/>
      <c r="Y8" s="368"/>
      <c r="Z8" s="368"/>
      <c r="AA8" s="368"/>
      <c r="AB8" s="368"/>
      <c r="AC8" s="368"/>
    </row>
    <row s="3306" customFormat="1" customHeight="1" ht="22.5">
      <c r="F9" s="1267"/>
      <c r="G9" s="1267"/>
      <c r="H9" s="1267"/>
      <c r="L9" s="1306"/>
      <c r="M9" s="283" t="s">
        <v>413</v>
      </c>
      <c r="N9" s="292"/>
      <c r="O9" s="2100" t="str">
        <f>IF(TITLE_DATE_CHANGE_PERIOD="",IF(TITLE_DATE_PR="","",TITLE_DATE_PR),TITLE_DATE_CHANGE_PERIOD)</f>
        <v>45245.61800925926</v>
      </c>
      <c r="P9" s="2100"/>
      <c r="Q9" s="2100"/>
      <c r="R9" s="2100"/>
      <c r="S9" s="2100"/>
      <c r="T9" s="2100"/>
      <c r="U9" s="2100"/>
      <c r="V9" s="322"/>
      <c r="W9" s="322"/>
      <c r="X9" s="268"/>
      <c r="Y9" s="368"/>
      <c r="Z9" s="368"/>
      <c r="AA9" s="368"/>
      <c r="AB9" s="368"/>
      <c r="AC9" s="368"/>
    </row>
    <row s="3306" customFormat="1" customHeight="1" ht="22.5">
      <c r="F10" s="1267"/>
      <c r="G10" s="1267"/>
      <c r="H10" s="1267"/>
      <c r="L10" s="1269"/>
      <c r="M10" s="283" t="s">
        <v>414</v>
      </c>
      <c r="N10" s="292"/>
      <c r="O10" s="2100" t="str">
        <f>IF(TITLE_NUMBER_PR_CHANGE="",IF(TITLE_NUMBER_PR="","",TITLE_NUMBER_PR),TITLE_NUMBER_PR_CHANGE)</f>
        <v>550</v>
      </c>
      <c r="P10" s="2100"/>
      <c r="Q10" s="2100"/>
      <c r="R10" s="2100"/>
      <c r="S10" s="2100"/>
      <c r="T10" s="2100"/>
      <c r="U10" s="2100"/>
      <c r="V10" s="322"/>
      <c r="W10" s="322"/>
      <c r="X10" s="268"/>
      <c r="Y10" s="368"/>
      <c r="Z10" s="368"/>
      <c r="AA10" s="368"/>
      <c r="AB10" s="368"/>
      <c r="AC10" s="368"/>
    </row>
    <row s="3306" customFormat="1" customHeight="1" ht="22.5">
      <c r="F11" s="1267"/>
      <c r="G11" s="1267"/>
      <c r="H11" s="1267"/>
      <c r="L11" s="1269"/>
      <c r="M11" s="283" t="s">
        <v>40</v>
      </c>
      <c r="N11" s="292"/>
      <c r="O11" s="2100" t="str">
        <f>IF(TITLE_IST_PUB_CHANGE="",IF(TITLE_IST_PUB="","",TITLE_IST_PUB),TITLE_IST_PUB_CHANGE)</f>
        <v>https://rst.donland.ru</v>
      </c>
      <c r="P11" s="2100"/>
      <c r="Q11" s="2100"/>
      <c r="R11" s="2100"/>
      <c r="S11" s="2100"/>
      <c r="T11" s="2100"/>
      <c r="U11" s="2100"/>
      <c r="V11" s="322"/>
      <c r="W11" s="322"/>
      <c r="X11" s="268"/>
      <c r="Y11" s="368"/>
      <c r="Z11" s="368"/>
      <c r="AA11" s="368"/>
      <c r="AB11" s="368"/>
      <c r="AC11" s="368"/>
    </row>
    <row s="3306" customFormat="1" customHeight="1" ht="11.25" hidden="1">
      <c r="F12" s="1267"/>
      <c r="G12" s="1267"/>
      <c r="H12" s="1267"/>
      <c r="L12" s="2440"/>
      <c r="M12" s="2440"/>
      <c r="N12" s="1317"/>
      <c r="O12" s="322"/>
      <c r="P12" s="322"/>
      <c r="Q12" s="322"/>
      <c r="R12" s="322"/>
      <c r="S12" s="322"/>
      <c r="T12" s="322"/>
      <c r="U12" s="322"/>
      <c r="V12" s="266" t="s">
        <v>417</v>
      </c>
      <c r="Y12" s="368"/>
      <c r="Z12" s="368"/>
      <c r="AA12" s="368"/>
      <c r="AB12" s="368"/>
      <c r="AC12" s="368"/>
    </row>
    <row customHeight="1" ht="14.25">
      <c r="J13" s="377"/>
      <c r="K13" s="377"/>
      <c r="L13" s="1305"/>
      <c r="M13" s="361"/>
      <c r="N13" s="1262"/>
      <c r="O13" s="2124"/>
      <c r="P13" s="2124"/>
      <c r="Q13" s="2124"/>
      <c r="R13" s="2124"/>
      <c r="S13" s="2124"/>
      <c r="T13" s="2124"/>
      <c r="U13" s="2124"/>
      <c r="V13" s="2124"/>
    </row>
    <row customHeight="1" ht="14.25">
      <c r="J14" s="377"/>
      <c r="K14" s="377"/>
      <c r="L14" s="1971" t="s">
        <v>291</v>
      </c>
      <c r="M14" s="1971"/>
      <c r="N14" s="1971"/>
      <c r="O14" s="1971"/>
      <c r="P14" s="1971"/>
      <c r="Q14" s="1971"/>
      <c r="R14" s="1971"/>
      <c r="S14" s="1971"/>
      <c r="T14" s="1971"/>
      <c r="U14" s="1971"/>
      <c r="V14" s="1971"/>
      <c r="W14" s="1971"/>
      <c r="X14" s="1971" t="s">
        <v>292</v>
      </c>
    </row>
    <row customHeight="1" ht="14.25">
      <c r="J15" s="377"/>
      <c r="K15" s="377"/>
      <c r="L15" s="2125" t="s">
        <v>87</v>
      </c>
      <c r="M15" s="2062" t="s">
        <v>418</v>
      </c>
      <c r="N15" s="289"/>
      <c r="O15" s="2126" t="s">
        <v>2143</v>
      </c>
      <c r="P15" s="2127"/>
      <c r="Q15" s="2127"/>
      <c r="R15" s="2127"/>
      <c r="S15" s="2127"/>
      <c r="T15" s="2127"/>
      <c r="U15" s="2128"/>
      <c r="V15" s="2129" t="s">
        <v>420</v>
      </c>
      <c r="W15" s="2132" t="s">
        <v>1063</v>
      </c>
      <c r="X15" s="1971"/>
    </row>
    <row customHeight="1" ht="33.75">
      <c r="J16" s="377"/>
      <c r="K16" s="377"/>
      <c r="L16" s="2125"/>
      <c r="M16" s="2062"/>
      <c r="N16" s="1038"/>
      <c r="O16" s="2135" t="s">
        <v>423</v>
      </c>
      <c r="P16" s="2135" t="s">
        <v>424</v>
      </c>
      <c r="Q16" s="2118" t="s">
        <v>425</v>
      </c>
      <c r="R16" s="2120"/>
      <c r="S16" s="2118" t="s">
        <v>439</v>
      </c>
      <c r="T16" s="2119"/>
      <c r="U16" s="2120"/>
      <c r="V16" s="2130"/>
      <c r="W16" s="2133"/>
      <c r="X16" s="1971"/>
    </row>
    <row customHeight="1" ht="33.75">
      <c r="A17" s="1288" t="s">
        <v>133</v>
      </c>
      <c r="B17" s="1288" t="s">
        <v>134</v>
      </c>
      <c r="C17" s="1288" t="s">
        <v>135</v>
      </c>
      <c r="D17" s="1288" t="s">
        <v>136</v>
      </c>
      <c r="E17" s="1288"/>
      <c r="J17" s="377"/>
      <c r="K17" s="377"/>
      <c r="L17" s="2125"/>
      <c r="M17" s="2062"/>
      <c r="N17" s="290"/>
      <c r="O17" s="2136"/>
      <c r="P17" s="2136"/>
      <c r="Q17" s="1237" t="s">
        <v>434</v>
      </c>
      <c r="R17" s="1237" t="s">
        <v>435</v>
      </c>
      <c r="S17" s="1322" t="s">
        <v>436</v>
      </c>
      <c r="T17" s="2121" t="s">
        <v>437</v>
      </c>
      <c r="U17" s="2122"/>
      <c r="V17" s="2131"/>
      <c r="W17" s="2134"/>
      <c r="X17" s="1971"/>
    </row>
    <row s="2611" customFormat="1" customHeight="1" ht="11.25">
      <c r="A18" s="1288"/>
      <c r="B18" s="1288"/>
      <c r="C18" s="1288"/>
      <c r="D18" s="1288"/>
      <c r="E18" s="1288"/>
      <c r="F18" s="1316"/>
      <c r="G18" s="1316"/>
      <c r="H18" s="1316"/>
      <c r="I18" s="1264"/>
      <c r="J18" s="1265"/>
      <c r="K18" s="1280">
        <v>1</v>
      </c>
      <c r="L18" s="1307" t="s">
        <v>108</v>
      </c>
      <c r="M18" s="1281" t="s">
        <v>109</v>
      </c>
      <c r="N18" s="1263" t="str">
        <f>OFFSET(N18,0,-1)</f>
        <v>2</v>
      </c>
      <c r="O18" s="1319">
        <f>OFFSET(O18,0,-1)+1</f>
        <v>3</v>
      </c>
      <c r="P18" s="1319"/>
      <c r="Q18" s="1319">
        <f>OFFSET(Q18,0,-1)+1</f>
        <v>1</v>
      </c>
      <c r="R18" s="1319">
        <f>OFFSET(R18,0,-1)+1</f>
        <v>2</v>
      </c>
      <c r="S18" s="1319">
        <f>OFFSET(S18,0,-1)+1</f>
        <v>3</v>
      </c>
      <c r="T18" s="2123">
        <f>OFFSET(T18,0,-1)+1</f>
        <v>4</v>
      </c>
      <c r="U18" s="2123"/>
      <c r="V18" s="1319">
        <f>OFFSET(V18,0,-2)+1</f>
        <v>5</v>
      </c>
      <c r="W18" s="1263">
        <f>OFFSET(W18,0,-1)</f>
        <v>5</v>
      </c>
      <c r="X18" s="1319">
        <f>OFFSET(X18,0,-1)+1</f>
        <v>6</v>
      </c>
      <c r="Y18" s="517"/>
      <c r="Z18" s="517"/>
      <c r="AA18" s="517"/>
      <c r="AB18" s="517"/>
      <c r="AC18" s="517"/>
    </row>
    <row customHeight="1" ht="21">
      <c r="A19" s="1296" t="s">
        <v>2153</v>
      </c>
      <c r="B19" s="1296" t="s">
        <v>2154</v>
      </c>
      <c r="C19" s="1296" t="s">
        <v>2155</v>
      </c>
      <c r="D19" s="1296" t="s">
        <v>2156</v>
      </c>
      <c r="E19" s="1296"/>
      <c r="F19" s="694"/>
      <c r="G19" s="694"/>
      <c r="H19" s="694"/>
      <c r="I19" s="357"/>
      <c r="J19" s="356"/>
      <c r="K19" s="351"/>
      <c r="L19" s="1323">
        <f>INDEX(PT_DIFFERENTIATION_NUM_NTAR,MATCH(A19,PT_DIFFERENTIATION_NTAR_ID,0))</f>
      </c>
      <c r="M19" s="286" t="s">
        <v>122</v>
      </c>
      <c r="N19" s="288"/>
      <c r="O19" s="2434">
        <f>INDEX(PT_DIFFERENTIATION_NTAR,MATCH(A19,PT_DIFFERENTIATION_NTAR_ID,0))</f>
      </c>
      <c r="P19" s="2434"/>
      <c r="Q19" s="2434"/>
      <c r="R19" s="2434"/>
      <c r="S19" s="2434"/>
      <c r="T19" s="2434"/>
      <c r="U19" s="2434"/>
      <c r="V19" s="2434"/>
      <c r="W19" s="2434"/>
      <c r="X19" s="1286" t="s">
        <v>389</v>
      </c>
      <c r="Z19" s="506"/>
      <c r="AA19" s="506" t="str">
        <f>IF(M19="","",M19)</f>
        <v>Наименование тарифа</v>
      </c>
      <c r="AB19" s="506"/>
      <c r="AC19" s="506"/>
    </row>
    <row customHeight="1" ht="21">
      <c r="A20" s="1296" t="s">
        <v>2153</v>
      </c>
      <c r="B20" s="1296" t="s">
        <v>2154</v>
      </c>
      <c r="C20" s="1296" t="s">
        <v>2155</v>
      </c>
      <c r="D20" s="1296" t="s">
        <v>2156</v>
      </c>
      <c r="E20" s="1296"/>
      <c r="F20" s="694"/>
      <c r="G20" s="694"/>
      <c r="H20" s="694"/>
      <c r="I20" s="1320"/>
      <c r="J20" s="348"/>
      <c r="K20" s="349"/>
      <c r="L20" s="1323">
        <f>INDEX(PT_DIFFERENTIATION_NUM_TER,MATCH(B19,PT_DIFFERENTIATION_TER_ID,0))</f>
      </c>
      <c r="M20" s="298" t="s">
        <v>390</v>
      </c>
      <c r="N20" s="288"/>
      <c r="O20" s="2434">
        <f>INDEX(PT_DIFFERENTIATION_TER,MATCH(B19,PT_DIFFERENTIATION_TER_ID,0))</f>
      </c>
      <c r="P20" s="2434"/>
      <c r="Q20" s="2434"/>
      <c r="R20" s="2434"/>
      <c r="S20" s="2434"/>
      <c r="T20" s="2434"/>
      <c r="U20" s="2434"/>
      <c r="V20" s="2434"/>
      <c r="W20" s="2434"/>
      <c r="X20" s="1286" t="s">
        <v>391</v>
      </c>
      <c r="Z20" s="506"/>
      <c r="AA20" s="506" t="str">
        <f>IF(M20="","",M20)</f>
        <v>Территория действия тарифа</v>
      </c>
      <c r="AB20" s="506"/>
      <c r="AC20" s="506"/>
    </row>
    <row customHeight="1" ht="22.5">
      <c r="A21" s="1296" t="s">
        <v>2153</v>
      </c>
      <c r="B21" s="1296" t="s">
        <v>2154</v>
      </c>
      <c r="C21" s="1296" t="s">
        <v>2155</v>
      </c>
      <c r="D21" s="1296" t="s">
        <v>2156</v>
      </c>
      <c r="E21" s="1296"/>
      <c r="F21" s="694"/>
      <c r="G21" s="694"/>
      <c r="H21" s="694"/>
      <c r="I21" s="350"/>
      <c r="J21" s="348"/>
      <c r="K21" s="349"/>
      <c r="L21" s="1323">
        <f>INDEX(PT_DIFFERENTIATION_NUM_CS,MATCH(C19,PT_DIFFERENTIATION_CS_ID,0))</f>
      </c>
      <c r="M21" s="299" t="s">
        <v>392</v>
      </c>
      <c r="N21" s="288"/>
      <c r="O21" s="2434">
        <f>INDEX(PT_DIFFERENTIATION_CS,MATCH(C19,PT_DIFFERENTIATION_CS_ID,0))</f>
      </c>
      <c r="P21" s="2434"/>
      <c r="Q21" s="2434"/>
      <c r="R21" s="2434"/>
      <c r="S21" s="2434"/>
      <c r="T21" s="2434"/>
      <c r="U21" s="2434"/>
      <c r="V21" s="2434"/>
      <c r="W21" s="2434"/>
      <c r="X21" s="1286" t="s">
        <v>393</v>
      </c>
      <c r="Z21" s="506"/>
      <c r="AA21" s="506" t="str">
        <f>IF(M21="","",M21)</f>
        <v>Наименование системы теплоснабжения </v>
      </c>
      <c r="AB21" s="506"/>
      <c r="AC21" s="506"/>
    </row>
    <row customHeight="1" ht="21">
      <c r="A22" s="1296" t="s">
        <v>2153</v>
      </c>
      <c r="B22" s="1296" t="s">
        <v>2154</v>
      </c>
      <c r="C22" s="1296" t="s">
        <v>2155</v>
      </c>
      <c r="D22" s="1296" t="s">
        <v>2156</v>
      </c>
      <c r="E22" s="1296"/>
      <c r="F22" s="694"/>
      <c r="G22" s="694"/>
      <c r="H22" s="694"/>
      <c r="I22" s="350"/>
      <c r="J22" s="348"/>
      <c r="K22" s="349"/>
      <c r="L22" s="1323">
        <f>INDEX(PT_DIFFERENTIATION_NUM_IST_TE,MATCH(D19,PT_DIFFERENTIATION_IST_TE_ID,0))</f>
      </c>
      <c r="M22" s="300" t="s">
        <v>394</v>
      </c>
      <c r="N22" s="288"/>
      <c r="O22" s="2434">
        <f>INDEX(PT_DIFFERENTIATION_IST_TE,MATCH(D19,PT_DIFFERENTIATION_IST_TE_ID,0))</f>
      </c>
      <c r="P22" s="2434"/>
      <c r="Q22" s="2434"/>
      <c r="R22" s="2434"/>
      <c r="S22" s="2434"/>
      <c r="T22" s="2434"/>
      <c r="U22" s="2434"/>
      <c r="V22" s="2434"/>
      <c r="W22" s="2434"/>
      <c r="X22" s="1286" t="s">
        <v>395</v>
      </c>
      <c r="Z22" s="506"/>
      <c r="AA22" s="506" t="str">
        <f>IF(M22="","",M22)</f>
        <v>Источник тепловой энергии  </v>
      </c>
      <c r="AB22" s="506"/>
      <c r="AC22" s="506"/>
    </row>
    <row customHeight="1" ht="94.5">
      <c r="A23" s="1296" t="s">
        <v>2153</v>
      </c>
      <c r="B23" s="1296" t="s">
        <v>2154</v>
      </c>
      <c r="C23" s="1296" t="s">
        <v>2155</v>
      </c>
      <c r="D23" s="1296" t="s">
        <v>2156</v>
      </c>
      <c r="E23" s="1296"/>
      <c r="F23" s="1969">
        <f>L22&amp;".1"</f>
      </c>
      <c r="I23" s="2111">
        <v>1</v>
      </c>
      <c r="J23" s="1321"/>
      <c r="K23" s="352"/>
      <c r="L23" s="1323">
        <f>$F$23</f>
      </c>
      <c r="M23" s="273" t="s">
        <v>397</v>
      </c>
      <c r="N23" s="288"/>
      <c r="O23" s="2436"/>
      <c r="P23" s="2436"/>
      <c r="Q23" s="2436"/>
      <c r="R23" s="2436"/>
      <c r="S23" s="2436"/>
      <c r="T23" s="2436"/>
      <c r="U23" s="2436"/>
      <c r="V23" s="2436"/>
      <c r="W23" s="2436"/>
      <c r="X23" s="1286" t="s">
        <v>398</v>
      </c>
      <c r="Z23" s="506"/>
      <c r="AA23" s="506" t="str">
        <f>IF(M23="","",M23)</f>
        <v>Схема подключения теплопотребляющей установки к коллектору источника тепловой энергии</v>
      </c>
      <c r="AB23" s="506"/>
      <c r="AC23" s="506"/>
    </row>
    <row customHeight="1" ht="84">
      <c r="A24" s="1296" t="s">
        <v>2153</v>
      </c>
      <c r="B24" s="1296" t="s">
        <v>2154</v>
      </c>
      <c r="C24" s="1296" t="s">
        <v>2155</v>
      </c>
      <c r="D24" s="1296" t="s">
        <v>2156</v>
      </c>
      <c r="E24" s="1296"/>
      <c r="F24" s="1969"/>
      <c r="G24" s="1953">
        <f>F23&amp;".1"</f>
      </c>
      <c r="I24" s="2111"/>
      <c r="J24" s="2111">
        <v>1</v>
      </c>
      <c r="K24" s="353"/>
      <c r="L24" s="1323">
        <f>$G$24</f>
      </c>
      <c r="M24" s="274" t="s">
        <v>400</v>
      </c>
      <c r="N24" s="288"/>
      <c r="O24" s="2437"/>
      <c r="P24" s="2438"/>
      <c r="Q24" s="2438"/>
      <c r="R24" s="2438"/>
      <c r="S24" s="2438"/>
      <c r="T24" s="2438"/>
      <c r="U24" s="2438"/>
      <c r="V24" s="2438"/>
      <c r="W24" s="2439"/>
      <c r="X24" s="1286" t="s">
        <v>401</v>
      </c>
      <c r="Z24" s="506"/>
      <c r="AA24" s="506" t="str">
        <f>IF(M24="","",M24)</f>
        <v>Группа потребителей</v>
      </c>
      <c r="AB24" s="506"/>
      <c r="AC24" s="506"/>
    </row>
    <row customHeight="1" ht="11.25">
      <c r="A25" s="1296" t="s">
        <v>2153</v>
      </c>
      <c r="B25" s="1296" t="s">
        <v>2154</v>
      </c>
      <c r="C25" s="1296" t="s">
        <v>2155</v>
      </c>
      <c r="D25" s="1296" t="s">
        <v>2156</v>
      </c>
      <c r="E25" s="1296"/>
      <c r="F25" s="1969"/>
      <c r="G25" s="1953"/>
      <c r="H25" s="1953">
        <f>G24&amp;".1"</f>
      </c>
      <c r="I25" s="2111"/>
      <c r="J25" s="2111"/>
      <c r="K25" s="353">
        <v>1</v>
      </c>
      <c r="L25" s="1323">
        <f>$H$25</f>
      </c>
      <c r="M25" s="1287"/>
      <c r="N25" s="288"/>
      <c r="O25" s="757"/>
      <c r="P25" s="320"/>
      <c r="Q25" s="757"/>
      <c r="R25" s="1285"/>
      <c r="S25" s="2443"/>
      <c r="T25" s="1981" t="s">
        <v>61</v>
      </c>
      <c r="U25" s="2443"/>
      <c r="V25" s="1981" t="s">
        <v>56</v>
      </c>
      <c r="W25" s="320"/>
      <c r="X25" s="2137" t="s">
        <v>403</v>
      </c>
      <c r="Y25" s="517">
        <f>STRCHECKDATE(O26:W26)</f>
      </c>
      <c r="Z25" s="506"/>
      <c r="AA25" s="506" t="str">
        <f>IF(M25="","",M25)</f>
        <v/>
      </c>
      <c r="AB25" s="506"/>
      <c r="AC25" s="506"/>
    </row>
    <row customHeight="1" ht="11.25">
      <c r="A26" s="1296" t="s">
        <v>2153</v>
      </c>
      <c r="B26" s="1296" t="s">
        <v>2154</v>
      </c>
      <c r="C26" s="1296" t="s">
        <v>2155</v>
      </c>
      <c r="D26" s="1296" t="s">
        <v>2156</v>
      </c>
      <c r="E26" s="1296"/>
      <c r="F26" s="1969"/>
      <c r="G26" s="1953"/>
      <c r="H26" s="1953"/>
      <c r="I26" s="2111"/>
      <c r="J26" s="2111"/>
      <c r="K26" s="353"/>
      <c r="L26" s="1324"/>
      <c r="M26" s="288"/>
      <c r="N26" s="288"/>
      <c r="O26" s="320"/>
      <c r="P26" s="320"/>
      <c r="Q26" s="320"/>
      <c r="R26" s="324" t="str">
        <f>S25&amp;"-"&amp;U25</f>
        <v>-</v>
      </c>
      <c r="S26" s="2113"/>
      <c r="T26" s="1981"/>
      <c r="U26" s="2113"/>
      <c r="V26" s="1981"/>
      <c r="W26" s="320"/>
      <c r="X26" s="2138"/>
      <c r="Z26" s="506"/>
      <c r="AA26" s="506" t="str">
        <f>IF(M26="","",M26)</f>
        <v/>
      </c>
      <c r="AB26" s="506"/>
      <c r="AC26" s="506"/>
    </row>
    <row customHeight="1" ht="15">
      <c r="A27" s="1296" t="s">
        <v>2153</v>
      </c>
      <c r="B27" s="1296" t="s">
        <v>2154</v>
      </c>
      <c r="C27" s="1296" t="s">
        <v>2155</v>
      </c>
      <c r="D27" s="1296" t="s">
        <v>2156</v>
      </c>
      <c r="E27" s="1296"/>
      <c r="F27" s="1969"/>
      <c r="G27" s="1953"/>
      <c r="I27" s="2111"/>
      <c r="J27" s="2111"/>
      <c r="K27" s="352"/>
      <c r="L27" s="1308"/>
      <c r="M27" s="276" t="s">
        <v>404</v>
      </c>
      <c r="N27" s="367"/>
      <c r="O27" s="367"/>
      <c r="P27" s="367"/>
      <c r="Q27" s="367"/>
      <c r="R27" s="367"/>
      <c r="S27" s="367"/>
      <c r="T27" s="367"/>
      <c r="U27" s="367"/>
      <c r="V27" s="367"/>
      <c r="W27" s="319"/>
      <c r="X27" s="2139"/>
      <c r="Z27" s="506"/>
      <c r="AA27" s="506" t="str">
        <f>IF(M27="","",M27)</f>
        <v>Добавить вид теплоносителя (параметры теплоносителя)</v>
      </c>
      <c r="AB27" s="506"/>
      <c r="AC27" s="506"/>
    </row>
    <row customHeight="1" ht="15">
      <c r="A28" s="1296" t="s">
        <v>2153</v>
      </c>
      <c r="B28" s="1296" t="s">
        <v>2154</v>
      </c>
      <c r="C28" s="1296" t="s">
        <v>2155</v>
      </c>
      <c r="D28" s="1296" t="s">
        <v>2156</v>
      </c>
      <c r="E28" s="1296"/>
      <c r="F28" s="1969"/>
      <c r="I28" s="2111"/>
      <c r="J28" s="1321"/>
      <c r="K28" s="352"/>
      <c r="L28" s="1308"/>
      <c r="M28" s="275" t="s">
        <v>405</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296" t="s">
        <v>2153</v>
      </c>
      <c r="B29" s="1296" t="s">
        <v>2154</v>
      </c>
      <c r="C29" s="1296" t="s">
        <v>2155</v>
      </c>
      <c r="D29" s="1296" t="s">
        <v>2156</v>
      </c>
      <c r="E29" s="1296"/>
      <c r="F29" s="694"/>
      <c r="G29" s="694"/>
      <c r="H29" s="515"/>
      <c r="I29" s="356"/>
      <c r="J29" s="376"/>
      <c r="K29" s="351"/>
      <c r="L29" s="1308"/>
      <c r="M29" s="364" t="s">
        <v>406</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296" t="s">
        <v>2153</v>
      </c>
      <c r="B30" s="1296" t="s">
        <v>2154</v>
      </c>
      <c r="C30" s="1296" t="s">
        <v>2155</v>
      </c>
      <c r="D30" s="1296"/>
      <c r="E30" s="1296" t="s">
        <v>573</v>
      </c>
      <c r="F30" s="694"/>
      <c r="G30" s="694"/>
      <c r="H30" s="515"/>
      <c r="I30" s="356"/>
      <c r="J30" s="376"/>
      <c r="K30" s="351"/>
      <c r="L30" s="1309"/>
      <c r="M30" s="1298"/>
      <c r="N30" s="1299"/>
      <c r="O30" s="1299"/>
      <c r="P30" s="1299"/>
      <c r="Q30" s="1299"/>
      <c r="R30" s="1299"/>
      <c r="S30" s="1299"/>
      <c r="T30" s="1299"/>
      <c r="U30" s="1299"/>
      <c r="V30" s="1300"/>
      <c r="W30" s="1299"/>
      <c r="X30" s="1301"/>
      <c r="Z30" s="506"/>
      <c r="AA30" s="506" t="str">
        <f>IF(M30="","",M30)</f>
        <v/>
      </c>
      <c r="AB30" s="506"/>
      <c r="AC30" s="506"/>
    </row>
    <row customHeight="1" ht="14.25">
      <c r="A31" s="1296" t="s">
        <v>2153</v>
      </c>
      <c r="B31" s="1296" t="s">
        <v>2154</v>
      </c>
      <c r="C31" s="1296"/>
      <c r="D31" s="1296"/>
      <c r="E31" s="1296" t="s">
        <v>2144</v>
      </c>
      <c r="F31" s="1283"/>
      <c r="G31" s="1283"/>
      <c r="H31" s="515"/>
      <c r="I31" s="354"/>
      <c r="J31" s="376"/>
      <c r="K31" s="355"/>
      <c r="L31" s="1309"/>
      <c r="M31" s="1302"/>
      <c r="N31" s="1299"/>
      <c r="O31" s="1299"/>
      <c r="P31" s="1299"/>
      <c r="Q31" s="1299"/>
      <c r="R31" s="1299"/>
      <c r="S31" s="1299"/>
      <c r="T31" s="1299"/>
      <c r="U31" s="1299"/>
      <c r="V31" s="1300"/>
      <c r="W31" s="1299"/>
      <c r="X31" s="1301"/>
      <c r="Z31" s="506"/>
      <c r="AA31" s="506" t="str">
        <f>IF(M31="","",M31)</f>
        <v/>
      </c>
      <c r="AB31" s="506"/>
      <c r="AC31" s="506"/>
    </row>
    <row customHeight="1" ht="14.25">
      <c r="A32" s="1296" t="s">
        <v>2157</v>
      </c>
      <c r="B32" s="1296"/>
      <c r="C32" s="1296"/>
      <c r="D32" s="1296"/>
      <c r="E32" s="1296" t="s">
        <v>103</v>
      </c>
      <c r="F32" s="1283"/>
      <c r="G32" s="1283"/>
      <c r="H32" s="515"/>
      <c r="I32" s="356"/>
      <c r="J32" s="376"/>
      <c r="K32" s="351"/>
      <c r="L32" s="1309"/>
      <c r="M32" s="1303"/>
      <c r="N32" s="1299"/>
      <c r="O32" s="1299"/>
      <c r="P32" s="1299"/>
      <c r="Q32" s="1299"/>
      <c r="R32" s="1299"/>
      <c r="S32" s="1299"/>
      <c r="T32" s="1299"/>
      <c r="U32" s="1299"/>
      <c r="V32" s="1300"/>
      <c r="W32" s="1299"/>
      <c r="X32" s="1301"/>
      <c r="Z32" s="506"/>
      <c r="AA32" s="506" t="str">
        <f>IF(M32="","",M32)</f>
        <v/>
      </c>
      <c r="AB32" s="506"/>
      <c r="AC32" s="506"/>
    </row>
    <row s="4752" customFormat="1" customHeight="1" ht="11.25">
      <c r="A33" s="1296"/>
      <c r="B33" s="1296"/>
      <c r="C33" s="1296"/>
      <c r="D33" s="1296"/>
      <c r="E33" s="1296" t="s">
        <v>170</v>
      </c>
      <c r="F33" s="1297"/>
      <c r="G33" s="1284"/>
      <c r="H33" s="515"/>
      <c r="L33" s="1310"/>
      <c r="M33" s="1304"/>
      <c r="N33" s="1299"/>
      <c r="O33" s="1299"/>
      <c r="P33" s="1299"/>
      <c r="Q33" s="1299"/>
      <c r="R33" s="1299"/>
      <c r="S33" s="1299"/>
      <c r="T33" s="1299"/>
      <c r="U33" s="1299"/>
      <c r="V33" s="1300"/>
      <c r="W33" s="1299"/>
      <c r="X33" s="1301"/>
      <c r="Y33" s="383"/>
      <c r="Z33" s="383"/>
      <c r="AA33" s="383"/>
      <c r="AB33" s="383"/>
      <c r="AC33" s="383"/>
    </row>
    <row customHeight="1" ht="11.25">
      <c r="F34" s="1163"/>
      <c r="G34" s="1163"/>
      <c r="H34" s="515"/>
      <c r="I34" s="1163"/>
      <c r="J34" s="1163"/>
      <c r="K34" s="1163"/>
      <c r="Y34" s="1163"/>
      <c r="Z34" s="1163"/>
      <c r="AA34" s="1163"/>
      <c r="AB34" s="1163"/>
      <c r="AC34" s="1163"/>
    </row>
    <row customHeight="1" ht="27">
      <c r="H35" s="515"/>
      <c r="L35" s="1318" t="s">
        <v>705</v>
      </c>
      <c r="M35" s="2106" t="s">
        <v>2146</v>
      </c>
      <c r="N35" s="2106"/>
      <c r="O35" s="2106"/>
      <c r="P35" s="2106"/>
      <c r="Q35" s="2106"/>
      <c r="R35" s="2106"/>
      <c r="S35" s="2106"/>
      <c r="T35" s="2106"/>
      <c r="U35" s="2106"/>
      <c r="V35" s="2106"/>
      <c r="W35" s="2106"/>
      <c r="X35" s="2106"/>
    </row>
    <row customHeight="1" ht="104.25">
      <c r="F36" s="1333"/>
      <c r="G36" s="1333"/>
      <c r="H36" s="515"/>
      <c r="I36" s="1333"/>
      <c r="M36" s="2106" t="s">
        <v>2147</v>
      </c>
      <c r="N36" s="2106"/>
      <c r="O36" s="2106"/>
      <c r="P36" s="2106"/>
      <c r="Q36" s="2106"/>
      <c r="R36" s="2106"/>
      <c r="S36" s="2106"/>
      <c r="T36" s="2106"/>
      <c r="U36" s="2106"/>
      <c r="V36" s="2106"/>
      <c r="W36" s="2106"/>
      <c r="X36" s="2106"/>
    </row>
    <row customHeight="1" ht="14.25">
      <c r="H37" s="515"/>
    </row>
    <row customHeight="1" ht="14.25">
      <c r="H38" s="515"/>
    </row>
    <row customHeight="1" ht="14.25">
      <c r="H39" s="515"/>
    </row>
    <row customHeight="1" ht="14.25">
      <c r="H40" s="515"/>
    </row>
  </sheetData>
  <sheetProtection formatColumns="0" formatRows="0" autoFilter="0" sort="0" insertRows="0" insertColumns="1" deleteRows="0" deleteColumns="0"/>
  <mergeCells count="39">
    <mergeCell ref="M35:X35"/>
    <mergeCell ref="M36:X36"/>
    <mergeCell ref="S25:S26"/>
    <mergeCell ref="T25:T26"/>
    <mergeCell ref="U25:U26"/>
    <mergeCell ref="V25:V26"/>
    <mergeCell ref="X25:X27"/>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 ref="H25:H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D99E77-69A8-EB38-2AAE-507936912A71}" mc:Ignorable="x14ac xr xr2 xr3">
  <sheetPr>
    <tabColor theme="6" tint="0.4"/>
  </sheetPr>
  <dimension ref="A1:AC32"/>
  <sheetViews>
    <sheetView topLeftCell="A1" showGridLines="0" workbookViewId="0">
      <selection activeCell="A1" sqref="A1"/>
    </sheetView>
  </sheetViews>
  <sheetFormatPr defaultColWidth="10.57421875" customHeight="1" defaultRowHeight="14.25"/>
  <cols>
    <col min="1" max="6" style="2612" width="10.57421875"/>
    <col min="7" max="8" style="3836" width="9.140625" customWidth="1"/>
    <col min="9" max="9" style="3371" width="3.7109375" customWidth="1"/>
    <col min="10" max="11" style="3372" width="3.7109375" customWidth="1"/>
    <col min="12" max="12" style="2941" width="12.7109375" customWidth="1"/>
    <col min="13" max="13" style="2941" width="47.421875" customWidth="1"/>
    <col min="14" max="14" style="2941" width="2.7109375" hidden="1" customWidth="1"/>
    <col min="15" max="18" style="2941" width="23.7109375" customWidth="1"/>
    <col min="19" max="19" style="2941" width="11.7109375" customWidth="1"/>
    <col min="20" max="20" style="2941" width="3.7109375" customWidth="1"/>
    <col min="21" max="21" style="2941" width="11.7109375" customWidth="1"/>
    <col min="22" max="22" style="2941" width="8.57421875" hidden="1" customWidth="1"/>
    <col min="23" max="23" style="2941" width="4.7109375" customWidth="1"/>
    <col min="24" max="24" style="2941" width="115.7109375" customWidth="1"/>
    <col min="25" max="29" style="2612" width="10.57421875"/>
  </cols>
  <sheetData>
    <row customHeight="1" ht="14.25" hidden="1"/>
    <row customHeight="1" ht="14.25" hidden="1"/>
    <row customHeight="1" ht="14.25" hidden="1"/>
    <row customHeight="1" ht="14.25">
      <c r="J4" s="377"/>
      <c r="K4" s="377"/>
      <c r="L4" s="361"/>
      <c r="M4" s="361"/>
      <c r="N4" s="361"/>
      <c r="O4" s="515"/>
      <c r="P4" s="515"/>
      <c r="Q4" s="515"/>
      <c r="R4" s="515"/>
      <c r="S4" s="515"/>
      <c r="T4" s="515"/>
      <c r="U4" s="515"/>
      <c r="V4" s="361"/>
    </row>
    <row customHeight="1" ht="14.25">
      <c r="J5" s="377"/>
      <c r="K5" s="377"/>
      <c r="L5" s="2448" t="s">
        <v>2158</v>
      </c>
      <c r="M5" s="2448"/>
      <c r="N5" s="2448"/>
      <c r="O5" s="2448"/>
      <c r="P5" s="2448"/>
      <c r="Q5" s="2448"/>
      <c r="R5" s="2448"/>
      <c r="S5" s="2448"/>
      <c r="T5" s="2448"/>
      <c r="U5" s="264"/>
      <c r="V5" s="264"/>
    </row>
    <row customHeight="1" ht="14.25">
      <c r="J6" s="377"/>
      <c r="K6" s="377"/>
      <c r="L6" s="361"/>
      <c r="M6" s="361"/>
      <c r="N6" s="361"/>
      <c r="O6" s="316"/>
      <c r="P6" s="316"/>
      <c r="Q6" s="316"/>
      <c r="R6" s="316"/>
      <c r="S6" s="316"/>
      <c r="T6" s="316"/>
      <c r="U6" s="361"/>
    </row>
    <row s="3306" customFormat="1" customHeight="1" ht="22.5">
      <c r="A7" s="368"/>
      <c r="B7" s="368"/>
      <c r="C7" s="368"/>
      <c r="D7" s="368"/>
      <c r="E7" s="368"/>
      <c r="F7" s="368"/>
      <c r="G7" s="368"/>
      <c r="H7" s="368"/>
      <c r="L7" s="265"/>
      <c r="M7" s="283" t="s">
        <v>38</v>
      </c>
      <c r="N7" s="292"/>
      <c r="O7" s="2449">
        <f>IF(NameOrPr_ch="",IF(NameOrPr="","",NameOrPr),NameOrPr_ch)</f>
      </c>
      <c r="P7" s="2450"/>
      <c r="Q7" s="2450"/>
      <c r="R7" s="2450"/>
      <c r="S7" s="2450"/>
      <c r="T7" s="2451"/>
      <c r="U7" s="1266"/>
      <c r="Y7" s="368"/>
      <c r="Z7" s="368"/>
      <c r="AA7" s="368"/>
      <c r="AB7" s="368"/>
      <c r="AC7" s="368"/>
    </row>
    <row s="3306" customFormat="1" customHeight="1" ht="18.75">
      <c r="A8" s="368"/>
      <c r="B8" s="368"/>
      <c r="C8" s="368"/>
      <c r="D8" s="368"/>
      <c r="E8" s="368"/>
      <c r="F8" s="368"/>
      <c r="G8" s="368"/>
      <c r="H8" s="368"/>
      <c r="L8" s="265"/>
      <c r="M8" s="283" t="s">
        <v>413</v>
      </c>
      <c r="N8" s="292"/>
      <c r="O8" s="2449">
        <f>IF(datePr_ch="",IF(datePr="","",datePr),datePr_ch)</f>
      </c>
      <c r="P8" s="2450"/>
      <c r="Q8" s="2450"/>
      <c r="R8" s="2450"/>
      <c r="S8" s="2450"/>
      <c r="T8" s="2451"/>
      <c r="U8" s="1266"/>
      <c r="Y8" s="368"/>
      <c r="Z8" s="368"/>
      <c r="AA8" s="368"/>
      <c r="AB8" s="368"/>
      <c r="AC8" s="368"/>
    </row>
    <row s="3306" customFormat="1" customHeight="1" ht="18.75">
      <c r="A9" s="368"/>
      <c r="B9" s="368"/>
      <c r="C9" s="368"/>
      <c r="D9" s="368"/>
      <c r="E9" s="368"/>
      <c r="F9" s="368"/>
      <c r="G9" s="368"/>
      <c r="H9" s="368"/>
      <c r="L9" s="318"/>
      <c r="M9" s="283" t="s">
        <v>414</v>
      </c>
      <c r="N9" s="292"/>
      <c r="O9" s="2449">
        <f>IF(numberPr_ch="",IF(numberPr="","",numberPr),numberPr_ch)</f>
      </c>
      <c r="P9" s="2450"/>
      <c r="Q9" s="2450"/>
      <c r="R9" s="2450"/>
      <c r="S9" s="2450"/>
      <c r="T9" s="2451"/>
      <c r="U9" s="1266"/>
      <c r="Y9" s="368"/>
      <c r="Z9" s="368"/>
      <c r="AA9" s="368"/>
      <c r="AB9" s="368"/>
      <c r="AC9" s="368"/>
    </row>
    <row s="3306" customFormat="1" customHeight="1" ht="18.75">
      <c r="A10" s="368"/>
      <c r="B10" s="368"/>
      <c r="C10" s="368"/>
      <c r="D10" s="368"/>
      <c r="E10" s="368"/>
      <c r="F10" s="368"/>
      <c r="G10" s="368"/>
      <c r="H10" s="368"/>
      <c r="L10" s="318"/>
      <c r="M10" s="283" t="s">
        <v>40</v>
      </c>
      <c r="N10" s="292"/>
      <c r="O10" s="2449">
        <f>IF(IstPub_ch="",IF(IstPub="","",IstPub),IstPub_ch)</f>
      </c>
      <c r="P10" s="2450"/>
      <c r="Q10" s="2450"/>
      <c r="R10" s="2450"/>
      <c r="S10" s="2450"/>
      <c r="T10" s="2451"/>
      <c r="U10" s="1266"/>
      <c r="Y10" s="368"/>
      <c r="Z10" s="368"/>
      <c r="AA10" s="368"/>
      <c r="AB10" s="368"/>
      <c r="AC10" s="368"/>
    </row>
    <row s="2845" customFormat="1" customHeight="1" ht="18.75" hidden="1">
      <c r="A11" s="1270"/>
      <c r="B11" s="1270"/>
      <c r="C11" s="1270"/>
      <c r="D11" s="1270"/>
      <c r="E11" s="1270"/>
      <c r="F11" s="1270"/>
      <c r="G11" s="1270"/>
      <c r="H11" s="1270"/>
      <c r="L11" s="318"/>
      <c r="M11" s="315"/>
      <c r="O11" s="1271"/>
      <c r="P11" s="1271"/>
      <c r="Q11" s="368" t="s">
        <v>2159</v>
      </c>
      <c r="R11" s="368" t="s">
        <v>2160</v>
      </c>
      <c r="S11" s="1271"/>
      <c r="T11" s="1271"/>
      <c r="U11" s="1266"/>
      <c r="Y11" s="1270"/>
      <c r="Z11" s="1270"/>
      <c r="AA11" s="1270"/>
      <c r="AB11" s="1270"/>
      <c r="AC11" s="1270"/>
    </row>
    <row s="3306" customFormat="1" customHeight="1" ht="11.25" hidden="1">
      <c r="A12" s="368"/>
      <c r="B12" s="368"/>
      <c r="C12" s="368"/>
      <c r="D12" s="368"/>
      <c r="E12" s="368"/>
      <c r="F12" s="368"/>
      <c r="G12" s="368"/>
      <c r="H12" s="368"/>
      <c r="L12" s="2440"/>
      <c r="M12" s="2440"/>
      <c r="N12" s="1233"/>
      <c r="O12" s="322"/>
      <c r="P12" s="322"/>
      <c r="Q12" s="322"/>
      <c r="R12" s="322"/>
      <c r="S12" s="322"/>
      <c r="T12" s="322"/>
      <c r="U12" s="1269"/>
      <c r="V12" s="266" t="s">
        <v>417</v>
      </c>
      <c r="Y12" s="368"/>
      <c r="Z12" s="368"/>
      <c r="AA12" s="368"/>
      <c r="AB12" s="368"/>
      <c r="AC12" s="368"/>
    </row>
    <row customHeight="1" ht="14.25">
      <c r="J13" s="377"/>
      <c r="K13" s="377"/>
      <c r="L13" s="361"/>
      <c r="M13" s="361"/>
      <c r="N13" s="361"/>
      <c r="O13" s="1272"/>
      <c r="P13" s="1272"/>
      <c r="Q13" s="2446"/>
      <c r="R13" s="2446"/>
      <c r="S13" s="2446"/>
      <c r="T13" s="2446"/>
      <c r="U13" s="2446"/>
      <c r="V13" s="2446"/>
    </row>
    <row customHeight="1" ht="14.25">
      <c r="J14" s="377"/>
      <c r="K14" s="377"/>
      <c r="L14" s="1971" t="s">
        <v>291</v>
      </c>
      <c r="M14" s="1971"/>
      <c r="N14" s="1971"/>
      <c r="O14" s="1971"/>
      <c r="P14" s="1971"/>
      <c r="Q14" s="1971"/>
      <c r="R14" s="1971"/>
      <c r="S14" s="1971"/>
      <c r="T14" s="1971"/>
      <c r="U14" s="1971"/>
      <c r="V14" s="1971"/>
      <c r="W14" s="1971"/>
      <c r="X14" s="1971" t="s">
        <v>292</v>
      </c>
    </row>
    <row customHeight="1" ht="14.25">
      <c r="J15" s="377"/>
      <c r="K15" s="377"/>
      <c r="L15" s="2062" t="s">
        <v>87</v>
      </c>
      <c r="M15" s="2062" t="s">
        <v>2161</v>
      </c>
      <c r="N15" s="1232"/>
      <c r="O15" s="2062" t="s">
        <v>2162</v>
      </c>
      <c r="P15" s="2061" t="s">
        <v>2163</v>
      </c>
      <c r="Q15" s="2061" t="s">
        <v>2143</v>
      </c>
      <c r="R15" s="2061"/>
      <c r="S15" s="2061"/>
      <c r="T15" s="2061"/>
      <c r="U15" s="2061"/>
      <c r="V15" s="2062" t="s">
        <v>420</v>
      </c>
      <c r="W15" s="2447" t="s">
        <v>1063</v>
      </c>
      <c r="X15" s="1971"/>
    </row>
    <row customHeight="1" ht="25.5">
      <c r="J16" s="377"/>
      <c r="K16" s="377"/>
      <c r="L16" s="2062"/>
      <c r="M16" s="2062"/>
      <c r="N16" s="1232"/>
      <c r="O16" s="2062"/>
      <c r="P16" s="2061"/>
      <c r="Q16" s="2061" t="s">
        <v>2164</v>
      </c>
      <c r="R16" s="2061"/>
      <c r="S16" s="2153" t="s">
        <v>439</v>
      </c>
      <c r="T16" s="2153"/>
      <c r="U16" s="2153"/>
      <c r="V16" s="2062"/>
      <c r="W16" s="2447"/>
      <c r="X16" s="1971"/>
    </row>
    <row customHeight="1" ht="14.25">
      <c r="J17" s="377"/>
      <c r="K17" s="377"/>
      <c r="L17" s="2062"/>
      <c r="M17" s="2062"/>
      <c r="N17" s="1232"/>
      <c r="O17" s="2062"/>
      <c r="P17" s="2061"/>
      <c r="Q17" s="1232" t="s">
        <v>473</v>
      </c>
      <c r="R17" s="1232" t="s">
        <v>474</v>
      </c>
      <c r="S17" s="1236" t="s">
        <v>436</v>
      </c>
      <c r="T17" s="2444" t="s">
        <v>437</v>
      </c>
      <c r="U17" s="2444"/>
      <c r="V17" s="2062"/>
      <c r="W17" s="2447"/>
      <c r="X17" s="1971"/>
    </row>
    <row customHeight="1" ht="14.25">
      <c r="J18" s="377"/>
      <c r="K18" s="279">
        <v>1</v>
      </c>
      <c r="L18" s="454" t="s">
        <v>108</v>
      </c>
      <c r="M18" s="454" t="s">
        <v>109</v>
      </c>
      <c r="N18" s="1268" t="s">
        <v>109</v>
      </c>
      <c r="O18" s="1234">
        <f>OFFSET(O18,0,-1)+1</f>
        <v>3</v>
      </c>
      <c r="P18" s="1234">
        <f>OFFSET(P18,0,-1)+1</f>
        <v>4</v>
      </c>
      <c r="Q18" s="1234">
        <f>OFFSET(Q18,0,-1)+1</f>
        <v>5</v>
      </c>
      <c r="R18" s="1234">
        <f>OFFSET(R18,0,-1)+1</f>
        <v>6</v>
      </c>
      <c r="S18" s="1234">
        <f>OFFSET(S18,0,-1)+1</f>
        <v>7</v>
      </c>
      <c r="T18" s="2445">
        <f>OFFSET(T18,0,-1)+1</f>
        <v>8</v>
      </c>
      <c r="U18" s="2445"/>
      <c r="V18" s="1234">
        <f>OFFSET(V18,0,-2)+1</f>
        <v>9</v>
      </c>
      <c r="X18" s="1234">
        <f>OFFSET(X18,0,-2)+1</f>
        <v>10</v>
      </c>
    </row>
    <row customHeight="1" ht="22.5">
      <c r="A19" s="2111">
        <v>1</v>
      </c>
      <c r="B19" s="524"/>
      <c r="C19" s="524"/>
      <c r="D19" s="524"/>
      <c r="E19" s="524"/>
      <c r="F19" s="524"/>
      <c r="G19" s="384"/>
      <c r="H19" s="384"/>
      <c r="I19" s="357"/>
      <c r="J19" s="377"/>
      <c r="K19" s="377"/>
      <c r="L19" s="1241">
        <f>MERGEVALUE(A19)</f>
      </c>
      <c r="M19" s="286" t="s">
        <v>122</v>
      </c>
      <c r="N19" s="305"/>
      <c r="O19" s="2331"/>
      <c r="P19" s="2331"/>
      <c r="Q19" s="2331"/>
      <c r="R19" s="2331"/>
      <c r="S19" s="2331"/>
      <c r="T19" s="2331"/>
      <c r="U19" s="2331"/>
      <c r="V19" s="2331"/>
      <c r="W19" s="2331"/>
      <c r="X19" s="341" t="s">
        <v>389</v>
      </c>
    </row>
    <row customHeight="1" ht="22.5">
      <c r="A20" s="2111"/>
      <c r="B20" s="2111">
        <v>1</v>
      </c>
      <c r="C20" s="524"/>
      <c r="D20" s="524"/>
      <c r="E20" s="524"/>
      <c r="F20" s="524"/>
      <c r="G20" s="386"/>
      <c r="H20" s="1235"/>
      <c r="I20" s="359"/>
      <c r="J20" s="1242"/>
      <c r="K20" s="1163"/>
      <c r="L20" s="1241">
        <f>MERGEVALUE(A20)&amp;"."&amp;MERGEVALUE(B20)</f>
      </c>
      <c r="M20" s="298" t="s">
        <v>390</v>
      </c>
      <c r="N20" s="305"/>
      <c r="O20" s="2331"/>
      <c r="P20" s="2331"/>
      <c r="Q20" s="2331"/>
      <c r="R20" s="2331"/>
      <c r="S20" s="2331"/>
      <c r="T20" s="2331"/>
      <c r="U20" s="2331"/>
      <c r="V20" s="2331"/>
      <c r="W20" s="2331"/>
      <c r="X20" s="341" t="s">
        <v>391</v>
      </c>
    </row>
    <row customHeight="1" ht="22.5">
      <c r="A21" s="2111"/>
      <c r="B21" s="2111"/>
      <c r="C21" s="2111">
        <v>1</v>
      </c>
      <c r="D21" s="524"/>
      <c r="E21" s="524"/>
      <c r="F21" s="524"/>
      <c r="G21" s="386"/>
      <c r="H21" s="1235"/>
      <c r="I21" s="360"/>
      <c r="J21" s="1242"/>
      <c r="K21" s="1163"/>
      <c r="L21" s="1241">
        <f>MERGEVALUE(A21)&amp;"."&amp;MERGEVALUE(B21)&amp;"."&amp;MERGEVALUE(C21)</f>
      </c>
      <c r="M21" s="299" t="s">
        <v>392</v>
      </c>
      <c r="N21" s="305"/>
      <c r="O21" s="2331"/>
      <c r="P21" s="2331"/>
      <c r="Q21" s="2331"/>
      <c r="R21" s="2331"/>
      <c r="S21" s="2331"/>
      <c r="T21" s="2331"/>
      <c r="U21" s="2331"/>
      <c r="V21" s="2331"/>
      <c r="W21" s="2331"/>
      <c r="X21" s="341" t="s">
        <v>393</v>
      </c>
    </row>
    <row customHeight="1" ht="14.25">
      <c r="A22" s="2111"/>
      <c r="B22" s="2111"/>
      <c r="C22" s="2111"/>
      <c r="D22" s="2111">
        <v>1</v>
      </c>
      <c r="E22" s="524"/>
      <c r="F22" s="524"/>
      <c r="G22" s="386"/>
      <c r="H22" s="1235"/>
      <c r="I22" s="360"/>
      <c r="J22" s="358"/>
      <c r="K22" s="1163"/>
      <c r="L22" s="1241">
        <f>MERGEVALUE(A22)&amp;"."&amp;MERGEVALUE(B22)&amp;"."&amp;MERGEVALUE(C22)&amp;"."&amp;MERGEVALUE(D22)</f>
      </c>
      <c r="M22" s="300" t="s">
        <v>394</v>
      </c>
      <c r="N22" s="305"/>
      <c r="O22" s="2331"/>
      <c r="P22" s="2331"/>
      <c r="Q22" s="2331"/>
      <c r="R22" s="2331"/>
      <c r="S22" s="2331"/>
      <c r="T22" s="2331"/>
      <c r="U22" s="2331"/>
      <c r="V22" s="2331"/>
      <c r="W22" s="2331"/>
      <c r="X22" s="333" t="s">
        <v>2165</v>
      </c>
    </row>
    <row customHeight="1" ht="22.5">
      <c r="A23" s="2111"/>
      <c r="B23" s="2111"/>
      <c r="C23" s="2111"/>
      <c r="D23" s="2111"/>
      <c r="E23" s="524">
        <v>1</v>
      </c>
      <c r="F23" s="524"/>
      <c r="G23" s="386"/>
      <c r="H23" s="1235"/>
      <c r="I23" s="360"/>
      <c r="J23" s="358"/>
      <c r="K23" s="457"/>
      <c r="L23" s="1241">
        <f>MERGEVALUE(A23)&amp;"."&amp;MERGEVALUE(B23)&amp;"."&amp;MERGEVALUE(C23)&amp;"."&amp;MERGEVALUE(D23)&amp;"."&amp;MERGEVALUE(E23)</f>
      </c>
      <c r="M23" s="379"/>
      <c r="N23" s="1238"/>
      <c r="O23" s="381"/>
      <c r="P23" s="382"/>
      <c r="Q23" s="293"/>
      <c r="R23" s="293"/>
      <c r="S23" s="1774"/>
      <c r="T23" s="1230" t="s">
        <v>56</v>
      </c>
      <c r="U23" s="1274"/>
      <c r="V23" s="1230" t="s">
        <v>56</v>
      </c>
      <c r="W23" s="1275"/>
      <c r="X23" s="2015" t="s">
        <v>2166</v>
      </c>
      <c r="Y23" s="517">
        <f>STRCHECKDATETWO(N23:W23)</f>
      </c>
    </row>
    <row customHeight="1" ht="14.25" hidden="1">
      <c r="A24" s="2111"/>
      <c r="B24" s="2111"/>
      <c r="C24" s="2111"/>
      <c r="D24" s="2111"/>
      <c r="E24" s="524"/>
      <c r="F24" s="524"/>
      <c r="G24" s="386"/>
      <c r="H24" s="1235"/>
      <c r="I24" s="360"/>
      <c r="J24" s="358"/>
      <c r="K24" s="457"/>
      <c r="L24" s="1240"/>
      <c r="M24" s="301"/>
      <c r="N24" s="288"/>
      <c r="O24" s="288"/>
      <c r="P24" s="288"/>
      <c r="Q24" s="288"/>
      <c r="R24" s="324" t="str">
        <f>S23&amp;"-"&amp;U23</f>
        <v>-</v>
      </c>
      <c r="S24" s="309"/>
      <c r="T24" s="306"/>
      <c r="U24" s="309"/>
      <c r="V24" s="288"/>
      <c r="W24" s="1276"/>
      <c r="X24" s="2016"/>
    </row>
    <row customHeight="1" ht="14.25">
      <c r="A25" s="2111"/>
      <c r="B25" s="2111"/>
      <c r="C25" s="2111"/>
      <c r="D25" s="2111"/>
      <c r="E25" s="524"/>
      <c r="F25" s="524"/>
      <c r="G25" s="386"/>
      <c r="H25" s="1235"/>
      <c r="I25" s="360"/>
      <c r="J25" s="358"/>
      <c r="K25" s="457"/>
      <c r="L25" s="297"/>
      <c r="M25" s="364" t="s">
        <v>462</v>
      </c>
      <c r="N25" s="363"/>
      <c r="O25" s="317"/>
      <c r="P25" s="317"/>
      <c r="Q25" s="317"/>
      <c r="R25" s="317"/>
      <c r="S25" s="321"/>
      <c r="T25" s="367"/>
      <c r="U25" s="366"/>
      <c r="V25" s="363"/>
      <c r="W25" s="363"/>
      <c r="X25" s="2017"/>
    </row>
    <row s="4752" customFormat="1" customHeight="1" ht="14.25">
      <c r="A26" s="2111"/>
      <c r="B26" s="2111"/>
      <c r="C26" s="2111"/>
      <c r="D26" s="385"/>
      <c r="E26" s="385"/>
      <c r="F26" s="385"/>
      <c r="G26" s="386"/>
      <c r="H26" s="385"/>
      <c r="I26" s="360"/>
      <c r="J26" s="376"/>
      <c r="K26" s="378"/>
      <c r="L26" s="297"/>
      <c r="M26" s="372" t="s">
        <v>573</v>
      </c>
      <c r="N26" s="363"/>
      <c r="O26" s="317"/>
      <c r="P26" s="317"/>
      <c r="Q26" s="317"/>
      <c r="R26" s="317"/>
      <c r="S26" s="321"/>
      <c r="T26" s="367"/>
      <c r="U26" s="366"/>
      <c r="V26" s="363"/>
      <c r="W26" s="367"/>
      <c r="X26" s="1277"/>
      <c r="Y26" s="383"/>
      <c r="Z26" s="383"/>
      <c r="AA26" s="383"/>
      <c r="AB26" s="383"/>
      <c r="AC26" s="383"/>
    </row>
    <row s="4752" customFormat="1" customHeight="1" ht="14.25">
      <c r="A27" s="2111"/>
      <c r="B27" s="2111"/>
      <c r="C27" s="385"/>
      <c r="D27" s="385"/>
      <c r="E27" s="385"/>
      <c r="F27" s="385"/>
      <c r="G27" s="386"/>
      <c r="H27" s="385"/>
      <c r="I27" s="356"/>
      <c r="J27" s="376"/>
      <c r="K27" s="378"/>
      <c r="L27" s="297"/>
      <c r="M27" s="363" t="s">
        <v>2144</v>
      </c>
      <c r="N27" s="363"/>
      <c r="O27" s="317"/>
      <c r="P27" s="317"/>
      <c r="Q27" s="317"/>
      <c r="R27" s="317"/>
      <c r="S27" s="321"/>
      <c r="T27" s="367"/>
      <c r="U27" s="366"/>
      <c r="V27" s="363"/>
      <c r="W27" s="367"/>
      <c r="X27" s="319"/>
      <c r="Y27" s="383"/>
      <c r="Z27" s="383"/>
      <c r="AA27" s="383"/>
      <c r="AB27" s="383"/>
      <c r="AC27" s="383"/>
    </row>
    <row s="4752" customFormat="1" customHeight="1" ht="14.25">
      <c r="A28" s="2111"/>
      <c r="B28" s="385"/>
      <c r="C28" s="385"/>
      <c r="D28" s="385"/>
      <c r="E28" s="385"/>
      <c r="F28" s="385"/>
      <c r="G28" s="386"/>
      <c r="H28" s="385"/>
      <c r="I28" s="356"/>
      <c r="J28" s="376"/>
      <c r="K28" s="378"/>
      <c r="L28" s="297"/>
      <c r="M28" s="421" t="s">
        <v>103</v>
      </c>
      <c r="N28" s="363"/>
      <c r="O28" s="317"/>
      <c r="P28" s="317"/>
      <c r="Q28" s="317"/>
      <c r="R28" s="317"/>
      <c r="S28" s="321"/>
      <c r="T28" s="367"/>
      <c r="U28" s="366"/>
      <c r="V28" s="363"/>
      <c r="W28" s="367"/>
      <c r="X28" s="319"/>
      <c r="Y28" s="383"/>
      <c r="Z28" s="383"/>
      <c r="AA28" s="383"/>
      <c r="AB28" s="383"/>
      <c r="AC28" s="383"/>
    </row>
    <row s="4752" customFormat="1" customHeight="1" ht="14.25">
      <c r="G29" s="365"/>
      <c r="H29" s="378"/>
      <c r="I29" s="375"/>
      <c r="J29" s="376"/>
      <c r="L29" s="297"/>
      <c r="M29" s="422" t="s">
        <v>170</v>
      </c>
      <c r="N29" s="363"/>
      <c r="O29" s="317"/>
      <c r="P29" s="317"/>
      <c r="Q29" s="317"/>
      <c r="R29" s="317"/>
      <c r="S29" s="321"/>
      <c r="T29" s="367"/>
      <c r="U29" s="366"/>
      <c r="V29" s="363"/>
      <c r="W29" s="367"/>
      <c r="X29" s="319"/>
      <c r="Y29" s="383"/>
      <c r="Z29" s="383"/>
      <c r="AA29" s="383"/>
      <c r="AB29" s="383"/>
      <c r="AC29" s="383"/>
    </row>
    <row r="31" customHeight="1" ht="14.25">
      <c r="L31" s="49">
        <v>1</v>
      </c>
      <c r="M31" s="2106" t="s">
        <v>2167</v>
      </c>
      <c r="N31" s="2106"/>
      <c r="O31" s="2106"/>
      <c r="P31" s="2106"/>
      <c r="Q31" s="2106"/>
      <c r="R31" s="2106"/>
      <c r="S31" s="2106"/>
      <c r="T31" s="2106"/>
      <c r="U31" s="2106"/>
      <c r="V31" s="2106"/>
      <c r="W31" s="2106"/>
      <c r="X31" s="2106"/>
      <c r="Y31" s="1278"/>
      <c r="Z31" s="369"/>
      <c r="AA31" s="369"/>
      <c r="AB31" s="369"/>
      <c r="AC31" s="369"/>
    </row>
    <row customHeight="1" ht="14.25">
      <c r="M32" s="1279"/>
      <c r="N32" s="1279"/>
      <c r="O32" s="1279"/>
      <c r="P32" s="1279"/>
      <c r="Q32" s="1279"/>
      <c r="R32" s="1279"/>
      <c r="S32" s="1279"/>
      <c r="T32" s="1279"/>
      <c r="U32" s="1279"/>
      <c r="V32" s="1279"/>
      <c r="W32" s="1279"/>
      <c r="X32" s="1279"/>
      <c r="Y32" s="516"/>
      <c r="Z32" s="516"/>
      <c r="AA32" s="516"/>
      <c r="AB32" s="516"/>
      <c r="AC32" s="516"/>
    </row>
  </sheetData>
  <sheetProtection formatColumns="0" formatRows="0" autoFilter="0" sort="0" insertRows="0" insertColumns="1" deleteRows="0" deleteColumns="0"/>
  <mergeCells count="30">
    <mergeCell ref="L12:M12"/>
    <mergeCell ref="L5:T5"/>
    <mergeCell ref="O7:T7"/>
    <mergeCell ref="O8:T8"/>
    <mergeCell ref="O9:T9"/>
    <mergeCell ref="O10:T10"/>
    <mergeCell ref="Q13:V13"/>
    <mergeCell ref="L14:W14"/>
    <mergeCell ref="X14:X17"/>
    <mergeCell ref="L15:L17"/>
    <mergeCell ref="M15:M17"/>
    <mergeCell ref="O15:O17"/>
    <mergeCell ref="P15:P17"/>
    <mergeCell ref="Q15:U15"/>
    <mergeCell ref="V15:V17"/>
    <mergeCell ref="W15:W17"/>
    <mergeCell ref="A19:A28"/>
    <mergeCell ref="O19:W19"/>
    <mergeCell ref="B20:B27"/>
    <mergeCell ref="O20:W20"/>
    <mergeCell ref="C21:C26"/>
    <mergeCell ref="O21:W21"/>
    <mergeCell ref="D22:D25"/>
    <mergeCell ref="O22:W22"/>
    <mergeCell ref="X23:X25"/>
    <mergeCell ref="M31:X31"/>
    <mergeCell ref="Q16:R16"/>
    <mergeCell ref="S16:U16"/>
    <mergeCell ref="T17:U17"/>
    <mergeCell ref="T18:U18"/>
  </mergeCells>
  <dataValidations count="8">
    <dataValidation allowBlank="1" prompt="Для выбора выполните двойной щелчок левой клавиши мыши по соответствующей ячейке." sqref="IX25:JJ29 ST25:TF29 ACP25:ADB29 AML25:AMX29 AWH25:AWT29 BGD25:BGP29 BPZ25:BQL29 BZV25:CAH29 CJR25:CKD29 CTN25:CTZ29 DDJ25:DDV29 DNF25:DNR29 DXB25:DXN29 EGX25:EHJ29 EQT25:ERF29 FAP25:FBB29 FKL25:FKX29 FUH25:FUT29 GED25:GEP29 GNZ25:GOL29 GXV25:GYH29 HHR25:HID29 HRN25:HRZ29 IBJ25:IBV29 ILF25:ILR29 IVB25:IVN29 JEX25:JFJ29 JOT25:JPF29 JYP25:JZB29 KIL25:KIX29 KSH25:KST29 LCD25:LCP29 LLZ25:LML29 LVV25:LWH29 MFR25:MGD29 MPN25:MPZ29 MZJ25:MZV29 NJF25:NJR29 NTB25:NTN29 OCX25:ODJ29 OMT25:ONF29 OWP25:OXB29 PGL25:PGX29 PQH25:PQT29 QAD25:QAP29 QJZ25:QKL29 QTV25:QUH29 RDR25:RED29 RNN25:RNZ29 RXJ25:RXV29 SHF25:SHR29 SRB25:SRN29 TAX25:TBJ29 TKT25:TLF29 TUP25:TVB29 UEL25:UEX29 UOH25:UOT29 UYD25:UYP29 VHZ25:VIL29 VRV25:VSH29 WBR25:WCD29 WLN25:WLZ29 WVJ25:WVV29 IX65561:JJ65565 ST65561:TF65565 ACP65561:ADB65565 AML65561:AMX65565 AWH65561:AWT65565 BGD65561:BGP65565 BPZ65561:BQL65565 BZV65561:CAH65565 CJR65561:CKD65565 CTN65561:CTZ65565 DDJ65561:DDV65565 DNF65561:DNR65565 DXB65561:DXN65565 EGX65561:EHJ65565 EQT65561:ERF65565 FAP65561:FBB65565 FKL65561:FKX65565 FUH65561:FUT65565 GED65561:GEP65565 GNZ65561:GOL65565 GXV65561:GYH65565 HHR65561:HID65565 HRN65561:HRZ65565 IBJ65561:IBV65565 ILF65561:ILR65565 IVB65561:IVN65565 JEX65561:JFJ65565 JOT65561:JPF65565 JYP65561:JZB65565 KIL65561:KIX65565 KSH65561:KST65565 LCD65561:LCP65565 LLZ65561:LML65565 LVV65561:LWH65565 MFR65561:MGD65565 MPN65561:MPZ65565 MZJ65561:MZV65565 NJF65561:NJR65565 NTB65561:NTN65565 OCX65561:ODJ65565 OMT65561:ONF65565 OWP65561:OXB65565 PGL65561:PGX65565 PQH65561:PQT65565 QAD65561:QAP65565 QJZ65561:QKL65565 QTV65561:QUH65565 RDR65561:RED65565 RNN65561:RNZ65565 RXJ65561:RXV65565 SHF65561:SHR65565 SRB65561:SRN65565 TAX65561:TBJ65565 TKT65561:TLF65565 TUP65561:TVB65565 UEL65561:UEX65565 UOH65561:UOT65565 UYD65561:UYP65565 VHZ65561:VIL65565 VRV65561:VSH65565 WBR65561:WCD65565 WLN65561:WLZ65565 WVJ65561:WVV65565 IX131097:JJ131101 ST131097:TF131101 ACP131097:ADB131101 AML131097:AMX131101 AWH131097:AWT131101 BGD131097:BGP131101 BPZ131097:BQL131101 BZV131097:CAH131101 CJR131097:CKD131101 CTN131097:CTZ131101 DDJ131097:DDV131101 DNF131097:DNR131101 DXB131097:DXN131101 EGX131097:EHJ131101 EQT131097:ERF131101 FAP131097:FBB131101 FKL131097:FKX131101 FUH131097:FUT131101 GED131097:GEP131101 GNZ131097:GOL131101 GXV131097:GYH131101 HHR131097:HID131101 HRN131097:HRZ131101 IBJ131097:IBV131101 ILF131097:ILR131101 IVB131097:IVN131101 JEX131097:JFJ131101 JOT131097:JPF131101 JYP131097:JZB131101 KIL131097:KIX131101 KSH131097:KST131101 LCD131097:LCP131101 LLZ131097:LML131101 LVV131097:LWH131101 MFR131097:MGD131101 MPN131097:MPZ131101 MZJ131097:MZV131101 NJF131097:NJR131101 NTB131097:NTN131101 OCX131097:ODJ131101 OMT131097:ONF131101 OWP131097:OXB131101 PGL131097:PGX131101 PQH131097:PQT131101 QAD131097:QAP131101 QJZ131097:QKL131101 QTV131097:QUH131101 RDR131097:RED131101 RNN131097:RNZ131101 RXJ131097:RXV131101 SHF131097:SHR131101 SRB131097:SRN131101 TAX131097:TBJ131101 TKT131097:TLF131101 TUP131097:TVB131101 UEL131097:UEX131101 UOH131097:UOT131101 UYD131097:UYP131101 VHZ131097:VIL131101 VRV131097:VSH131101 WBR131097:WCD131101 WLN131097:WLZ131101 WVJ131097:WVV131101 IX196633:JJ196637 ST196633:TF196637 ACP196633:ADB196637 AML196633:AMX196637 AWH196633:AWT196637 BGD196633:BGP196637 BPZ196633:BQL196637 BZV196633:CAH196637 CJR196633:CKD196637 CTN196633:CTZ196637 DDJ196633:DDV196637 DNF196633:DNR196637 DXB196633:DXN196637 EGX196633:EHJ196637 EQT196633:ERF196637 FAP196633:FBB196637 FKL196633:FKX196637 FUH196633:FUT196637 GED196633:GEP196637 GNZ196633:GOL196637 GXV196633:GYH196637 HHR196633:HID196637 HRN196633:HRZ196637 IBJ196633:IBV196637 ILF196633:ILR196637 IVB196633:IVN196637 JEX196633:JFJ196637 JOT196633:JPF196637 JYP196633:JZB196637 KIL196633:KIX196637 KSH196633:KST196637 LCD196633:LCP196637 LLZ196633:LML196637 LVV196633:LWH196637 MFR196633:MGD196637 MPN196633:MPZ196637 MZJ196633:MZV196637 NJF196633:NJR196637 NTB196633:NTN196637 OCX196633:ODJ196637 OMT196633:ONF196637 OWP196633:OXB196637 PGL196633:PGX196637 PQH196633:PQT196637 QAD196633:QAP196637 QJZ196633:QKL196637 QTV196633:QUH196637 RDR196633:RED196637 RNN196633:RNZ196637 RXJ196633:RXV196637 SHF196633:SHR196637 SRB196633:SRN196637 TAX196633:TBJ196637 TKT196633:TLF196637 TUP196633:TVB196637 UEL196633:UEX196637 UOH196633:UOT196637 UYD196633:UYP196637 VHZ196633:VIL196637 VRV196633:VSH196637 WBR196633:WCD196637 WLN196633:WLZ196637 WVJ196633:WVV196637 IX262169:JJ262173 ST262169:TF262173 ACP262169:ADB262173 AML262169:AMX262173 AWH262169:AWT262173 BGD262169:BGP262173 BPZ262169:BQL262173 BZV262169:CAH262173 CJR262169:CKD262173 CTN262169:CTZ262173 DDJ262169:DDV262173 DNF262169:DNR262173 DXB262169:DXN262173 EGX262169:EHJ262173 EQT262169:ERF262173 FAP262169:FBB262173 FKL262169:FKX262173 FUH262169:FUT262173 GED262169:GEP262173 GNZ262169:GOL262173 GXV262169:GYH262173 HHR262169:HID262173 HRN262169:HRZ262173 IBJ262169:IBV262173 ILF262169:ILR262173 IVB262169:IVN262173 JEX262169:JFJ262173 JOT262169:JPF262173 JYP262169:JZB262173 KIL262169:KIX262173 KSH262169:KST262173 LCD262169:LCP262173 LLZ262169:LML262173 LVV262169:LWH262173 MFR262169:MGD262173 MPN262169:MPZ262173 MZJ262169:MZV262173 NJF262169:NJR262173 NTB262169:NTN262173 OCX262169:ODJ262173 OMT262169:ONF262173 OWP262169:OXB262173 PGL262169:PGX262173 PQH262169:PQT262173 QAD262169:QAP262173 QJZ262169:QKL262173 QTV262169:QUH262173 RDR262169:RED262173 RNN262169:RNZ262173 RXJ262169:RXV262173 SHF262169:SHR262173 SRB262169:SRN262173 TAX262169:TBJ262173 TKT262169:TLF262173 TUP262169:TVB262173 UEL262169:UEX262173 UOH262169:UOT262173 UYD262169:UYP262173 VHZ262169:VIL262173 VRV262169:VSH262173 WBR262169:WCD262173 WLN262169:WLZ262173 WVJ262169:WVV262173 IX327705:JJ327709 ST327705:TF327709 ACP327705:ADB327709 AML327705:AMX327709 AWH327705:AWT327709 BGD327705:BGP327709 BPZ327705:BQL327709 BZV327705:CAH327709 CJR327705:CKD327709 CTN327705:CTZ327709 DDJ327705:DDV327709 DNF327705:DNR327709 DXB327705:DXN327709 EGX327705:EHJ327709 EQT327705:ERF327709 FAP327705:FBB327709 FKL327705:FKX327709 FUH327705:FUT327709 GED327705:GEP327709 GNZ327705:GOL327709 GXV327705:GYH327709 HHR327705:HID327709 HRN327705:HRZ327709 IBJ327705:IBV327709 ILF327705:ILR327709 IVB327705:IVN327709 JEX327705:JFJ327709 JOT327705:JPF327709 JYP327705:JZB327709 KIL327705:KIX327709 KSH327705:KST327709 LCD327705:LCP327709 LLZ327705:LML327709 LVV327705:LWH327709 MFR327705:MGD327709 MPN327705:MPZ327709 MZJ327705:MZV327709 NJF327705:NJR327709 NTB327705:NTN327709 OCX327705:ODJ327709 OMT327705:ONF327709 OWP327705:OXB327709 PGL327705:PGX327709 PQH327705:PQT327709 QAD327705:QAP327709 QJZ327705:QKL327709 QTV327705:QUH327709 RDR327705:RED327709 RNN327705:RNZ327709 RXJ327705:RXV327709 SHF327705:SHR327709 SRB327705:SRN327709 TAX327705:TBJ327709 TKT327705:TLF327709 TUP327705:TVB327709 UEL327705:UEX327709 UOH327705:UOT327709 UYD327705:UYP327709 VHZ327705:VIL327709 VRV327705:VSH327709 WBR327705:WCD327709 WLN327705:WLZ327709 WVJ327705:WVV327709 IX393241:JJ393245 ST393241:TF393245 ACP393241:ADB393245 AML393241:AMX393245 AWH393241:AWT393245 BGD393241:BGP393245 BPZ393241:BQL393245 BZV393241:CAH393245 CJR393241:CKD393245 CTN393241:CTZ393245 DDJ393241:DDV393245 DNF393241:DNR393245 DXB393241:DXN393245 EGX393241:EHJ393245 EQT393241:ERF393245 FAP393241:FBB393245 FKL393241:FKX393245 FUH393241:FUT393245 GED393241:GEP393245 GNZ393241:GOL393245 GXV393241:GYH393245 HHR393241:HID393245 HRN393241:HRZ393245 IBJ393241:IBV393245 ILF393241:ILR393245 IVB393241:IVN393245 JEX393241:JFJ393245 JOT393241:JPF393245 JYP393241:JZB393245 KIL393241:KIX393245 KSH393241:KST393245 LCD393241:LCP393245 LLZ393241:LML393245 LVV393241:LWH393245 MFR393241:MGD393245 MPN393241:MPZ393245 MZJ393241:MZV393245 NJF393241:NJR393245 NTB393241:NTN393245 OCX393241:ODJ393245 OMT393241:ONF393245 OWP393241:OXB393245 PGL393241:PGX393245 PQH393241:PQT393245 QAD393241:QAP393245 QJZ393241:QKL393245 QTV393241:QUH393245 RDR393241:RED393245 RNN393241:RNZ393245 RXJ393241:RXV393245 SHF393241:SHR393245 SRB393241:SRN393245 TAX393241:TBJ393245 TKT393241:TLF393245 TUP393241:TVB393245 UEL393241:UEX393245 UOH393241:UOT393245 UYD393241:UYP393245 VHZ393241:VIL393245 VRV393241:VSH393245 WBR393241:WCD393245 WLN393241:WLZ393245 WVJ393241:WVV393245 IX458777:JJ458781 ST458777:TF458781 ACP458777:ADB458781 AML458777:AMX458781 AWH458777:AWT458781 BGD458777:BGP458781 BPZ458777:BQL458781 BZV458777:CAH458781 CJR458777:CKD458781 CTN458777:CTZ458781 DDJ458777:DDV458781 DNF458777:DNR458781 DXB458777:DXN458781 EGX458777:EHJ458781 EQT458777:ERF458781 FAP458777:FBB458781 FKL458777:FKX458781 FUH458777:FUT458781 GED458777:GEP458781 GNZ458777:GOL458781 GXV458777:GYH458781 HHR458777:HID458781 HRN458777:HRZ458781 IBJ458777:IBV458781 ILF458777:ILR458781 IVB458777:IVN458781 JEX458777:JFJ458781 JOT458777:JPF458781 JYP458777:JZB458781 KIL458777:KIX458781 KSH458777:KST458781 LCD458777:LCP458781 LLZ458777:LML458781 LVV458777:LWH458781 MFR458777:MGD458781 MPN458777:MPZ458781 MZJ458777:MZV458781 NJF458777:NJR458781 NTB458777:NTN458781 OCX458777:ODJ458781 OMT458777:ONF458781 OWP458777:OXB458781 PGL458777:PGX458781 PQH458777:PQT458781 QAD458777:QAP458781 QJZ458777:QKL458781 QTV458777:QUH458781 RDR458777:RED458781 RNN458777:RNZ458781 RXJ458777:RXV458781 SHF458777:SHR458781 SRB458777:SRN458781 TAX458777:TBJ458781 TKT458777:TLF458781 TUP458777:TVB458781 UEL458777:UEX458781 UOH458777:UOT458781 UYD458777:UYP458781 VHZ458777:VIL458781 VRV458777:VSH458781 WBR458777:WCD458781 WLN458777:WLZ458781 WVJ458777:WVV458781 IX524313:JJ524317 ST524313:TF524317 ACP524313:ADB524317 AML524313:AMX524317 AWH524313:AWT524317 BGD524313:BGP524317 BPZ524313:BQL524317 BZV524313:CAH524317 CJR524313:CKD524317 CTN524313:CTZ524317 DDJ524313:DDV524317 DNF524313:DNR524317 DXB524313:DXN524317 EGX524313:EHJ524317 EQT524313:ERF524317 FAP524313:FBB524317 FKL524313:FKX524317 FUH524313:FUT524317 GED524313:GEP524317 GNZ524313:GOL524317 GXV524313:GYH524317 HHR524313:HID524317 HRN524313:HRZ524317 IBJ524313:IBV524317 ILF524313:ILR524317 IVB524313:IVN524317 JEX524313:JFJ524317 JOT524313:JPF524317 JYP524313:JZB524317 KIL524313:KIX524317 KSH524313:KST524317 LCD524313:LCP524317 LLZ524313:LML524317 LVV524313:LWH524317 MFR524313:MGD524317 MPN524313:MPZ524317 MZJ524313:MZV524317 NJF524313:NJR524317 NTB524313:NTN524317 OCX524313:ODJ524317 OMT524313:ONF524317 OWP524313:OXB524317 PGL524313:PGX524317 PQH524313:PQT524317 QAD524313:QAP524317 QJZ524313:QKL524317 QTV524313:QUH524317 RDR524313:RED524317 RNN524313:RNZ524317 RXJ524313:RXV524317 SHF524313:SHR524317 SRB524313:SRN524317 TAX524313:TBJ524317 TKT524313:TLF524317 TUP524313:TVB524317 UEL524313:UEX524317 UOH524313:UOT524317 UYD524313:UYP524317 VHZ524313:VIL524317 VRV524313:VSH524317 WBR524313:WCD524317 WLN524313:WLZ524317 WVJ524313:WVV524317 IX589849:JJ589853 ST589849:TF589853 ACP589849:ADB589853 AML589849:AMX589853 AWH589849:AWT589853 BGD589849:BGP589853 BPZ589849:BQL589853 BZV589849:CAH589853 CJR589849:CKD589853 CTN589849:CTZ589853 DDJ589849:DDV589853 DNF589849:DNR589853 DXB589849:DXN589853 EGX589849:EHJ589853 EQT589849:ERF589853 FAP589849:FBB589853 FKL589849:FKX589853 FUH589849:FUT589853 GED589849:GEP589853 GNZ589849:GOL589853 GXV589849:GYH589853 HHR589849:HID589853 HRN589849:HRZ589853 IBJ589849:IBV589853 ILF589849:ILR589853 IVB589849:IVN589853 JEX589849:JFJ589853 JOT589849:JPF589853 JYP589849:JZB589853 KIL589849:KIX589853 KSH589849:KST589853 LCD589849:LCP589853 LLZ589849:LML589853 LVV589849:LWH589853 MFR589849:MGD589853 MPN589849:MPZ589853 MZJ589849:MZV589853 NJF589849:NJR589853 NTB589849:NTN589853 OCX589849:ODJ589853 OMT589849:ONF589853 OWP589849:OXB589853 PGL589849:PGX589853 PQH589849:PQT589853 QAD589849:QAP589853 QJZ589849:QKL589853 QTV589849:QUH589853 RDR589849:RED589853 RNN589849:RNZ589853 RXJ589849:RXV589853 SHF589849:SHR589853 SRB589849:SRN589853 TAX589849:TBJ589853 TKT589849:TLF589853 TUP589849:TVB589853 UEL589849:UEX589853 UOH589849:UOT589853 UYD589849:UYP589853 VHZ589849:VIL589853 VRV589849:VSH589853 WBR589849:WCD589853 WLN589849:WLZ589853 WVJ589849:WVV589853 IX655385:JJ655389 ST655385:TF655389 ACP655385:ADB655389 AML655385:AMX655389 AWH655385:AWT655389 BGD655385:BGP655389 BPZ655385:BQL655389 BZV655385:CAH655389 CJR655385:CKD655389 CTN655385:CTZ655389 DDJ655385:DDV655389 DNF655385:DNR655389 DXB655385:DXN655389 EGX655385:EHJ655389 EQT655385:ERF655389 FAP655385:FBB655389 FKL655385:FKX655389 FUH655385:FUT655389 GED655385:GEP655389 GNZ655385:GOL655389 GXV655385:GYH655389 HHR655385:HID655389 HRN655385:HRZ655389 IBJ655385:IBV655389 ILF655385:ILR655389 IVB655385:IVN655389 JEX655385:JFJ655389 JOT655385:JPF655389 JYP655385:JZB655389 KIL655385:KIX655389 KSH655385:KST655389 LCD655385:LCP655389 LLZ655385:LML655389 LVV655385:LWH655389 MFR655385:MGD655389 MPN655385:MPZ655389 MZJ655385:MZV655389 NJF655385:NJR655389 NTB655385:NTN655389 OCX655385:ODJ655389 OMT655385:ONF655389 OWP655385:OXB655389 PGL655385:PGX655389 PQH655385:PQT655389 QAD655385:QAP655389 QJZ655385:QKL655389 QTV655385:QUH655389 RDR655385:RED655389 RNN655385:RNZ655389 RXJ655385:RXV655389 SHF655385:SHR655389 SRB655385:SRN655389 TAX655385:TBJ655389 TKT655385:TLF655389 TUP655385:TVB655389 UEL655385:UEX655389 UOH655385:UOT655389 UYD655385:UYP655389 VHZ655385:VIL655389 VRV655385:VSH655389 WBR655385:WCD655389 WLN655385:WLZ655389 WVJ655385:WVV655389 IX720921:JJ720925 ST720921:TF720925 ACP720921:ADB720925 AML720921:AMX720925 AWH720921:AWT720925 BGD720921:BGP720925 BPZ720921:BQL720925 BZV720921:CAH720925 CJR720921:CKD720925 CTN720921:CTZ720925 DDJ720921:DDV720925 DNF720921:DNR720925 DXB720921:DXN720925 EGX720921:EHJ720925 EQT720921:ERF720925 FAP720921:FBB720925 FKL720921:FKX720925 FUH720921:FUT720925 GED720921:GEP720925 GNZ720921:GOL720925 GXV720921:GYH720925 HHR720921:HID720925 HRN720921:HRZ720925 IBJ720921:IBV720925 ILF720921:ILR720925 IVB720921:IVN720925 JEX720921:JFJ720925 JOT720921:JPF720925 JYP720921:JZB720925 KIL720921:KIX720925 KSH720921:KST720925 LCD720921:LCP720925 LLZ720921:LML720925 LVV720921:LWH720925 MFR720921:MGD720925 MPN720921:MPZ720925 MZJ720921:MZV720925 NJF720921:NJR720925 NTB720921:NTN720925 OCX720921:ODJ720925 OMT720921:ONF720925 OWP720921:OXB720925 PGL720921:PGX720925 PQH720921:PQT720925 QAD720921:QAP720925 QJZ720921:QKL720925 QTV720921:QUH720925 RDR720921:RED720925 RNN720921:RNZ720925 RXJ720921:RXV720925 SHF720921:SHR720925 SRB720921:SRN720925 TAX720921:TBJ720925 TKT720921:TLF720925 TUP720921:TVB720925 UEL720921:UEX720925 UOH720921:UOT720925 UYD720921:UYP720925 VHZ720921:VIL720925 VRV720921:VSH720925 WBR720921:WCD720925 WLN720921:WLZ720925 WVJ720921:WVV720925 IX786457:JJ786461 ST786457:TF786461 ACP786457:ADB786461 AML786457:AMX786461 AWH786457:AWT786461 BGD786457:BGP786461 BPZ786457:BQL786461 BZV786457:CAH786461 CJR786457:CKD786461 CTN786457:CTZ786461 DDJ786457:DDV786461 DNF786457:DNR786461 DXB786457:DXN786461 EGX786457:EHJ786461 EQT786457:ERF786461 FAP786457:FBB786461 FKL786457:FKX786461 FUH786457:FUT786461 GED786457:GEP786461 GNZ786457:GOL786461 GXV786457:GYH786461 HHR786457:HID786461 HRN786457:HRZ786461 IBJ786457:IBV786461 ILF786457:ILR786461 IVB786457:IVN786461 JEX786457:JFJ786461 JOT786457:JPF786461 JYP786457:JZB786461 KIL786457:KIX786461 KSH786457:KST786461 LCD786457:LCP786461 LLZ786457:LML786461 LVV786457:LWH786461 MFR786457:MGD786461 MPN786457:MPZ786461 MZJ786457:MZV786461 NJF786457:NJR786461 NTB786457:NTN786461 OCX786457:ODJ786461 OMT786457:ONF786461 OWP786457:OXB786461 PGL786457:PGX786461 PQH786457:PQT786461 QAD786457:QAP786461 QJZ786457:QKL786461 QTV786457:QUH786461 RDR786457:RED786461 RNN786457:RNZ786461 RXJ786457:RXV786461 SHF786457:SHR786461 SRB786457:SRN786461 TAX786457:TBJ786461 TKT786457:TLF786461 TUP786457:TVB786461 UEL786457:UEX786461 UOH786457:UOT786461 UYD786457:UYP786461 VHZ786457:VIL786461 VRV786457:VSH786461 WBR786457:WCD786461 WLN786457:WLZ786461 WVJ786457:WVV786461 IX851993:JJ851997 ST851993:TF851997 ACP851993:ADB851997 AML851993:AMX851997 AWH851993:AWT851997 BGD851993:BGP851997 BPZ851993:BQL851997 BZV851993:CAH851997 CJR851993:CKD851997 CTN851993:CTZ851997 DDJ851993:DDV851997 DNF851993:DNR851997 DXB851993:DXN851997 EGX851993:EHJ851997 EQT851993:ERF851997 FAP851993:FBB851997 FKL851993:FKX851997 FUH851993:FUT851997 GED851993:GEP851997 GNZ851993:GOL851997 GXV851993:GYH851997 HHR851993:HID851997 HRN851993:HRZ851997 IBJ851993:IBV851997 ILF851993:ILR851997 IVB851993:IVN851997 JEX851993:JFJ851997 JOT851993:JPF851997 JYP851993:JZB851997 KIL851993:KIX851997 KSH851993:KST851997 LCD851993:LCP851997 LLZ851993:LML851997 LVV851993:LWH851997 MFR851993:MGD851997 MPN851993:MPZ851997 MZJ851993:MZV851997 NJF851993:NJR851997 NTB851993:NTN851997 OCX851993:ODJ851997 OMT851993:ONF851997 OWP851993:OXB851997 PGL851993:PGX851997 PQH851993:PQT851997 QAD851993:QAP851997 QJZ851993:QKL851997 QTV851993:QUH851997 RDR851993:RED851997 RNN851993:RNZ851997 RXJ851993:RXV851997 SHF851993:SHR851997 SRB851993:SRN851997 TAX851993:TBJ851997 TKT851993:TLF851997 TUP851993:TVB851997 UEL851993:UEX851997 UOH851993:UOT851997 UYD851993:UYP851997 VHZ851993:VIL851997 VRV851993:VSH851997 WBR851993:WCD851997 WLN851993:WLZ851997 WVJ851993:WVV851997 IX917529:JJ917533 ST917529:TF917533 ACP917529:ADB917533 AML917529:AMX917533 AWH917529:AWT917533 BGD917529:BGP917533 BPZ917529:BQL917533 BZV917529:CAH917533 CJR917529:CKD917533 CTN917529:CTZ917533 DDJ917529:DDV917533 DNF917529:DNR917533 DXB917529:DXN917533 EGX917529:EHJ917533 EQT917529:ERF917533 FAP917529:FBB917533 FKL917529:FKX917533 FUH917529:FUT917533 GED917529:GEP917533 GNZ917529:GOL917533 GXV917529:GYH917533 HHR917529:HID917533 HRN917529:HRZ917533 IBJ917529:IBV917533 ILF917529:ILR917533 IVB917529:IVN917533 JEX917529:JFJ917533 JOT917529:JPF917533 JYP917529:JZB917533 KIL917529:KIX917533 KSH917529:KST917533 LCD917529:LCP917533 LLZ917529:LML917533 LVV917529:LWH917533 MFR917529:MGD917533 MPN917529:MPZ917533 MZJ917529:MZV917533 NJF917529:NJR917533 NTB917529:NTN917533 OCX917529:ODJ917533 OMT917529:ONF917533 OWP917529:OXB917533 PGL917529:PGX917533 PQH917529:PQT917533 QAD917529:QAP917533 QJZ917529:QKL917533 QTV917529:QUH917533 RDR917529:RED917533 RNN917529:RNZ917533 RXJ917529:RXV917533 SHF917529:SHR917533 SRB917529:SRN917533 TAX917529:TBJ917533 TKT917529:TLF917533 TUP917529:TVB917533 UEL917529:UEX917533 UOH917529:UOT917533 UYD917529:UYP917533 VHZ917529:VIL917533 VRV917529:VSH917533 WBR917529:WCD917533 WLN917529:WLZ917533 WVJ917529:WVV917533 WVJ983065:WVV983069 IX983065:JJ983069 ST983065:TF983069 ACP983065:ADB983069 AML983065:AMX983069 AWH983065:AWT983069 BGD983065:BGP983069 BPZ983065:BQL983069 BZV983065:CAH983069 CJR983065:CKD983069 CTN983065:CTZ983069 DDJ983065:DDV983069 DNF983065:DNR983069 DXB983065:DXN983069 EGX983065:EHJ983069 EQT983065:ERF983069 FAP983065:FBB983069 FKL983065:FKX983069 FUH983065:FUT983069 GED983065:GEP983069 GNZ983065:GOL983069 GXV983065:GYH983069 HHR983065:HID983069 HRN983065:HRZ983069 IBJ983065:IBV983069 ILF983065:ILR983069 IVB983065:IVN983069 JEX983065:JFJ983069 JOT983065:JPF983069 JYP983065:JZB983069 KIL983065:KIX983069 KSH983065:KST983069 LCD983065:LCP983069 LLZ983065:LML983069 LVV983065:LWH983069 MFR983065:MGD983069 MPN983065:MPZ983069 MZJ983065:MZV983069 NJF983065:NJR983069 NTB983065:NTN983069 OCX983065:ODJ983069 OMT983065:ONF983069 OWP983065:OXB983069 PGL983065:PGX983069 PQH983065:PQT983069 QAD983065:QAP983069 QJZ983065:QKL983069 QTV983065:QUH983069 RDR983065:RED983069 RNN983065:RNZ983069 RXJ983065:RXV983069 SHF983065:SHR983069 SRB983065:SRN983069 TAX983065:TBJ983069 TKT983065:TLF983069 TUP983065:TVB983069 UEL983065:UEX983069 UOH983065:UOT983069 UYD983065:UYP983069 VHZ983065:VIL983069 VRV983065:VSH983069 WBR983065:WCD983069 WLN983065:WLZ983069 L983065:X983069 L65561:X65565 L131097:X131101 L196633:X196637 L262169:X262173 L327705:X327709 L393241:X393245 L458777:X458781 L524313:X524317 L589849:X589853 L655385:X655389 L720921:X720925 L786457:X786461 L851993:X851997 L917529:X917533"/>
    <dataValidation type="textLength" operator="lessThanOrEqual" allowBlank="1" showInputMessage="1" showErrorMessage="1" errorTitle="Ошибка" error="Допускается ввод не более 900 символов!" prompt="Укажите заявителя" sqref="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M23 IY23 WVK983063 M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M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M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M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M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M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M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M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M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M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M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M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M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M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M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SU23">
      <formula1>900</formula1>
    </dataValidation>
    <dataValidation type="decimal" allowBlank="1" showErrorMessage="1" errorTitle="Ошибка" error="Допускается ввод только неотрицательных чисел!" sqref="ACT23 AMP23 AWL23 BGH23 BQD23 BZZ23 CJV23 CTR23 DDN23 DNJ23 DXF23 EHB23 EQX23 FAT23 FKP23 FUL23 GEH23 GOD23 GXZ23 HHV23 HRR23 IBN23 ILJ23 IVF23 JFB23 JOX23 JYT23 KIP23 KSL23 LCH23 LMD23 LVZ23 MFV23 MPR23 MZN23 NJJ23 NTF23 ODB23 OMX23 OWT23 PGP23 PQL23 QAH23 QKD23 QTZ23 RDV23 RNR23 RXN23 SHJ23 SRF23 TBB23 TKX23 TUT23 UEP23 UOL23 UYH23 VID23 VRZ23 WBV23 WLR23 WVN23 P23 JB23 WVN983063 P65559 JB65559 SX65559 ACT65559 AMP65559 AWL65559 BGH65559 BQD65559 BZZ65559 CJV65559 CTR65559 DDN65559 DNJ65559 DXF65559 EHB65559 EQX65559 FAT65559 FKP65559 FUL65559 GEH65559 GOD65559 GXZ65559 HHV65559 HRR65559 IBN65559 ILJ65559 IVF65559 JFB65559 JOX65559 JYT65559 KIP65559 KSL65559 LCH65559 LMD65559 LVZ65559 MFV65559 MPR65559 MZN65559 NJJ65559 NTF65559 ODB65559 OMX65559 OWT65559 PGP65559 PQL65559 QAH65559 QKD65559 QTZ65559 RDV65559 RNR65559 RXN65559 SHJ65559 SRF65559 TBB65559 TKX65559 TUT65559 UEP65559 UOL65559 UYH65559 VID65559 VRZ65559 WBV65559 WLR65559 WVN65559 P131095 JB131095 SX131095 ACT131095 AMP131095 AWL131095 BGH131095 BQD131095 BZZ131095 CJV131095 CTR131095 DDN131095 DNJ131095 DXF131095 EHB131095 EQX131095 FAT131095 FKP131095 FUL131095 GEH131095 GOD131095 GXZ131095 HHV131095 HRR131095 IBN131095 ILJ131095 IVF131095 JFB131095 JOX131095 JYT131095 KIP131095 KSL131095 LCH131095 LMD131095 LVZ131095 MFV131095 MPR131095 MZN131095 NJJ131095 NTF131095 ODB131095 OMX131095 OWT131095 PGP131095 PQL131095 QAH131095 QKD131095 QTZ131095 RDV131095 RNR131095 RXN131095 SHJ131095 SRF131095 TBB131095 TKX131095 TUT131095 UEP131095 UOL131095 UYH131095 VID131095 VRZ131095 WBV131095 WLR131095 WVN131095 P196631 JB196631 SX196631 ACT196631 AMP196631 AWL196631 BGH196631 BQD196631 BZZ196631 CJV196631 CTR196631 DDN196631 DNJ196631 DXF196631 EHB196631 EQX196631 FAT196631 FKP196631 FUL196631 GEH196631 GOD196631 GXZ196631 HHV196631 HRR196631 IBN196631 ILJ196631 IVF196631 JFB196631 JOX196631 JYT196631 KIP196631 KSL196631 LCH196631 LMD196631 LVZ196631 MFV196631 MPR196631 MZN196631 NJJ196631 NTF196631 ODB196631 OMX196631 OWT196631 PGP196631 PQL196631 QAH196631 QKD196631 QTZ196631 RDV196631 RNR196631 RXN196631 SHJ196631 SRF196631 TBB196631 TKX196631 TUT196631 UEP196631 UOL196631 UYH196631 VID196631 VRZ196631 WBV196631 WLR196631 WVN196631 P262167 JB262167 SX262167 ACT262167 AMP262167 AWL262167 BGH262167 BQD262167 BZZ262167 CJV262167 CTR262167 DDN262167 DNJ262167 DXF262167 EHB262167 EQX262167 FAT262167 FKP262167 FUL262167 GEH262167 GOD262167 GXZ262167 HHV262167 HRR262167 IBN262167 ILJ262167 IVF262167 JFB262167 JOX262167 JYT262167 KIP262167 KSL262167 LCH262167 LMD262167 LVZ262167 MFV262167 MPR262167 MZN262167 NJJ262167 NTF262167 ODB262167 OMX262167 OWT262167 PGP262167 PQL262167 QAH262167 QKD262167 QTZ262167 RDV262167 RNR262167 RXN262167 SHJ262167 SRF262167 TBB262167 TKX262167 TUT262167 UEP262167 UOL262167 UYH262167 VID262167 VRZ262167 WBV262167 WLR262167 WVN262167 P327703 JB327703 SX327703 ACT327703 AMP327703 AWL327703 BGH327703 BQD327703 BZZ327703 CJV327703 CTR327703 DDN327703 DNJ327703 DXF327703 EHB327703 EQX327703 FAT327703 FKP327703 FUL327703 GEH327703 GOD327703 GXZ327703 HHV327703 HRR327703 IBN327703 ILJ327703 IVF327703 JFB327703 JOX327703 JYT327703 KIP327703 KSL327703 LCH327703 LMD327703 LVZ327703 MFV327703 MPR327703 MZN327703 NJJ327703 NTF327703 ODB327703 OMX327703 OWT327703 PGP327703 PQL327703 QAH327703 QKD327703 QTZ327703 RDV327703 RNR327703 RXN327703 SHJ327703 SRF327703 TBB327703 TKX327703 TUT327703 UEP327703 UOL327703 UYH327703 VID327703 VRZ327703 WBV327703 WLR327703 WVN327703 P393239 JB393239 SX393239 ACT393239 AMP393239 AWL393239 BGH393239 BQD393239 BZZ393239 CJV393239 CTR393239 DDN393239 DNJ393239 DXF393239 EHB393239 EQX393239 FAT393239 FKP393239 FUL393239 GEH393239 GOD393239 GXZ393239 HHV393239 HRR393239 IBN393239 ILJ393239 IVF393239 JFB393239 JOX393239 JYT393239 KIP393239 KSL393239 LCH393239 LMD393239 LVZ393239 MFV393239 MPR393239 MZN393239 NJJ393239 NTF393239 ODB393239 OMX393239 OWT393239 PGP393239 PQL393239 QAH393239 QKD393239 QTZ393239 RDV393239 RNR393239 RXN393239 SHJ393239 SRF393239 TBB393239 TKX393239 TUT393239 UEP393239 UOL393239 UYH393239 VID393239 VRZ393239 WBV393239 WLR393239 WVN393239 P458775 JB458775 SX458775 ACT458775 AMP458775 AWL458775 BGH458775 BQD458775 BZZ458775 CJV458775 CTR458775 DDN458775 DNJ458775 DXF458775 EHB458775 EQX458775 FAT458775 FKP458775 FUL458775 GEH458775 GOD458775 GXZ458775 HHV458775 HRR458775 IBN458775 ILJ458775 IVF458775 JFB458775 JOX458775 JYT458775 KIP458775 KSL458775 LCH458775 LMD458775 LVZ458775 MFV458775 MPR458775 MZN458775 NJJ458775 NTF458775 ODB458775 OMX458775 OWT458775 PGP458775 PQL458775 QAH458775 QKD458775 QTZ458775 RDV458775 RNR458775 RXN458775 SHJ458775 SRF458775 TBB458775 TKX458775 TUT458775 UEP458775 UOL458775 UYH458775 VID458775 VRZ458775 WBV458775 WLR458775 WVN458775 P524311 JB524311 SX524311 ACT524311 AMP524311 AWL524311 BGH524311 BQD524311 BZZ524311 CJV524311 CTR524311 DDN524311 DNJ524311 DXF524311 EHB524311 EQX524311 FAT524311 FKP524311 FUL524311 GEH524311 GOD524311 GXZ524311 HHV524311 HRR524311 IBN524311 ILJ524311 IVF524311 JFB524311 JOX524311 JYT524311 KIP524311 KSL524311 LCH524311 LMD524311 LVZ524311 MFV524311 MPR524311 MZN524311 NJJ524311 NTF524311 ODB524311 OMX524311 OWT524311 PGP524311 PQL524311 QAH524311 QKD524311 QTZ524311 RDV524311 RNR524311 RXN524311 SHJ524311 SRF524311 TBB524311 TKX524311 TUT524311 UEP524311 UOL524311 UYH524311 VID524311 VRZ524311 WBV524311 WLR524311 WVN524311 P589847 JB589847 SX589847 ACT589847 AMP589847 AWL589847 BGH589847 BQD589847 BZZ589847 CJV589847 CTR589847 DDN589847 DNJ589847 DXF589847 EHB589847 EQX589847 FAT589847 FKP589847 FUL589847 GEH589847 GOD589847 GXZ589847 HHV589847 HRR589847 IBN589847 ILJ589847 IVF589847 JFB589847 JOX589847 JYT589847 KIP589847 KSL589847 LCH589847 LMD589847 LVZ589847 MFV589847 MPR589847 MZN589847 NJJ589847 NTF589847 ODB589847 OMX589847 OWT589847 PGP589847 PQL589847 QAH589847 QKD589847 QTZ589847 RDV589847 RNR589847 RXN589847 SHJ589847 SRF589847 TBB589847 TKX589847 TUT589847 UEP589847 UOL589847 UYH589847 VID589847 VRZ589847 WBV589847 WLR589847 WVN589847 P655383 JB655383 SX655383 ACT655383 AMP655383 AWL655383 BGH655383 BQD655383 BZZ655383 CJV655383 CTR655383 DDN655383 DNJ655383 DXF655383 EHB655383 EQX655383 FAT655383 FKP655383 FUL655383 GEH655383 GOD655383 GXZ655383 HHV655383 HRR655383 IBN655383 ILJ655383 IVF655383 JFB655383 JOX655383 JYT655383 KIP655383 KSL655383 LCH655383 LMD655383 LVZ655383 MFV655383 MPR655383 MZN655383 NJJ655383 NTF655383 ODB655383 OMX655383 OWT655383 PGP655383 PQL655383 QAH655383 QKD655383 QTZ655383 RDV655383 RNR655383 RXN655383 SHJ655383 SRF655383 TBB655383 TKX655383 TUT655383 UEP655383 UOL655383 UYH655383 VID655383 VRZ655383 WBV655383 WLR655383 WVN655383 P720919 JB720919 SX720919 ACT720919 AMP720919 AWL720919 BGH720919 BQD720919 BZZ720919 CJV720919 CTR720919 DDN720919 DNJ720919 DXF720919 EHB720919 EQX720919 FAT720919 FKP720919 FUL720919 GEH720919 GOD720919 GXZ720919 HHV720919 HRR720919 IBN720919 ILJ720919 IVF720919 JFB720919 JOX720919 JYT720919 KIP720919 KSL720919 LCH720919 LMD720919 LVZ720919 MFV720919 MPR720919 MZN720919 NJJ720919 NTF720919 ODB720919 OMX720919 OWT720919 PGP720919 PQL720919 QAH720919 QKD720919 QTZ720919 RDV720919 RNR720919 RXN720919 SHJ720919 SRF720919 TBB720919 TKX720919 TUT720919 UEP720919 UOL720919 UYH720919 VID720919 VRZ720919 WBV720919 WLR720919 WVN720919 P786455 JB786455 SX786455 ACT786455 AMP786455 AWL786455 BGH786455 BQD786455 BZZ786455 CJV786455 CTR786455 DDN786455 DNJ786455 DXF786455 EHB786455 EQX786455 FAT786455 FKP786455 FUL786455 GEH786455 GOD786455 GXZ786455 HHV786455 HRR786455 IBN786455 ILJ786455 IVF786455 JFB786455 JOX786455 JYT786455 KIP786455 KSL786455 LCH786455 LMD786455 LVZ786455 MFV786455 MPR786455 MZN786455 NJJ786455 NTF786455 ODB786455 OMX786455 OWT786455 PGP786455 PQL786455 QAH786455 QKD786455 QTZ786455 RDV786455 RNR786455 RXN786455 SHJ786455 SRF786455 TBB786455 TKX786455 TUT786455 UEP786455 UOL786455 UYH786455 VID786455 VRZ786455 WBV786455 WLR786455 WVN786455 P851991 JB851991 SX851991 ACT851991 AMP851991 AWL851991 BGH851991 BQD851991 BZZ851991 CJV851991 CTR851991 DDN851991 DNJ851991 DXF851991 EHB851991 EQX851991 FAT851991 FKP851991 FUL851991 GEH851991 GOD851991 GXZ851991 HHV851991 HRR851991 IBN851991 ILJ851991 IVF851991 JFB851991 JOX851991 JYT851991 KIP851991 KSL851991 LCH851991 LMD851991 LVZ851991 MFV851991 MPR851991 MZN851991 NJJ851991 NTF851991 ODB851991 OMX851991 OWT851991 PGP851991 PQL851991 QAH851991 QKD851991 QTZ851991 RDV851991 RNR851991 RXN851991 SHJ851991 SRF851991 TBB851991 TKX851991 TUT851991 UEP851991 UOL851991 UYH851991 VID851991 VRZ851991 WBV851991 WLR851991 WVN851991 P917527 JB917527 SX917527 ACT917527 AMP917527 AWL917527 BGH917527 BQD917527 BZZ917527 CJV917527 CTR917527 DDN917527 DNJ917527 DXF917527 EHB917527 EQX917527 FAT917527 FKP917527 FUL917527 GEH917527 GOD917527 GXZ917527 HHV917527 HRR917527 IBN917527 ILJ917527 IVF917527 JFB917527 JOX917527 JYT917527 KIP917527 KSL917527 LCH917527 LMD917527 LVZ917527 MFV917527 MPR917527 MZN917527 NJJ917527 NTF917527 ODB917527 OMX917527 OWT917527 PGP917527 PQL917527 QAH917527 QKD917527 QTZ917527 RDV917527 RNR917527 RXN917527 SHJ917527 SRF917527 TBB917527 TKX917527 TUT917527 UEP917527 UOL917527 UYH917527 VID917527 VRZ917527 WBV917527 WLR917527 WVN917527 P983063 JB983063 SX983063 ACT983063 AMP983063 AWL983063 BGH983063 BQD983063 BZZ983063 CJV983063 CTR983063 DDN983063 DNJ983063 DXF983063 EHB983063 EQX983063 FAT983063 FKP983063 FUL983063 GEH983063 GOD983063 GXZ983063 HHV983063 HRR983063 IBN983063 ILJ983063 IVF983063 JFB983063 JOX983063 JYT983063 KIP983063 KSL983063 LCH983063 LMD983063 LVZ983063 MFV983063 MPR983063 MZN983063 NJJ983063 NTF983063 ODB983063 OMX983063 OWT983063 PGP983063 PQL983063 QAH983063 QKD983063 QTZ983063 RDV983063 RNR983063 RXN983063 SHJ983063 SRF983063 TBB983063 TKX983063 TUT983063 UEP983063 UOL983063 UYH983063 VID983063 VRZ983063 WBV983063 WLR983063 SX23">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S23 JE23 TA23 U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U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U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U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U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U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U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U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U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U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U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U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U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U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U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JG23 WVQ983063 S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S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S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S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S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S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S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S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S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S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S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S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S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S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S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TC23"/>
    <dataValidation type="decimal" allowBlank="1" showErrorMessage="1" errorTitle="Ошибка" error="Допускается ввод только действительных чисел!" sqref="ACU23:ACV23 AMQ23:AMR23 AWM23:AWN23 BGI23:BGJ23 BQE23:BQF23 CAA23:CAB23 CJW23:CJX23 CTS23:CTT23 DDO23:DDP23 DNK23:DNL23 DXG23:DXH23 EHC23:EHD23 EQY23:EQZ23 FAU23:FAV23 FKQ23:FKR23 FUM23:FUN23 GEI23:GEJ23 GOE23:GOF23 GYA23:GYB23 HHW23:HHX23 HRS23:HRT23 IBO23:IBP23 ILK23:ILL23 IVG23:IVH23 JFC23:JFD23 JOY23:JOZ23 JYU23:JYV23 KIQ23:KIR23 KSM23:KSN23 LCI23:LCJ23 LME23:LMF23 LWA23:LWB23 MFW23:MFX23 MPS23:MPT23 MZO23:MZP23 NJK23:NJL23 NTG23:NTH23 ODC23:ODD23 OMY23:OMZ23 OWU23:OWV23 PGQ23:PGR23 PQM23:PQN23 QAI23:QAJ23 QKE23:QKF23 QUA23:QUB23 RDW23:RDX23 RNS23:RNT23 RXO23:RXP23 SHK23:SHL23 SRG23:SRH23 TBC23:TBD23 TKY23:TKZ23 TUU23:TUV23 UEQ23:UER23 UOM23:UON23 UYI23:UYJ23 VIE23:VIF23 VSA23:VSB23 WBW23:WBX23 WLS23:WLT23 WVO23:WVP23 Q23:R23 JC23:JD23 WVO983063:WVP983063 Q65559:R65559 JC65559:JD65559 SY65559:SZ65559 ACU65559:ACV65559 AMQ65559:AMR65559 AWM65559:AWN65559 BGI65559:BGJ65559 BQE65559:BQF65559 CAA65559:CAB65559 CJW65559:CJX65559 CTS65559:CTT65559 DDO65559:DDP65559 DNK65559:DNL65559 DXG65559:DXH65559 EHC65559:EHD65559 EQY65559:EQZ65559 FAU65559:FAV65559 FKQ65559:FKR65559 FUM65559:FUN65559 GEI65559:GEJ65559 GOE65559:GOF65559 GYA65559:GYB65559 HHW65559:HHX65559 HRS65559:HRT65559 IBO65559:IBP65559 ILK65559:ILL65559 IVG65559:IVH65559 JFC65559:JFD65559 JOY65559:JOZ65559 JYU65559:JYV65559 KIQ65559:KIR65559 KSM65559:KSN65559 LCI65559:LCJ65559 LME65559:LMF65559 LWA65559:LWB65559 MFW65559:MFX65559 MPS65559:MPT65559 MZO65559:MZP65559 NJK65559:NJL65559 NTG65559:NTH65559 ODC65559:ODD65559 OMY65559:OMZ65559 OWU65559:OWV65559 PGQ65559:PGR65559 PQM65559:PQN65559 QAI65559:QAJ65559 QKE65559:QKF65559 QUA65559:QUB65559 RDW65559:RDX65559 RNS65559:RNT65559 RXO65559:RXP65559 SHK65559:SHL65559 SRG65559:SRH65559 TBC65559:TBD65559 TKY65559:TKZ65559 TUU65559:TUV65559 UEQ65559:UER65559 UOM65559:UON65559 UYI65559:UYJ65559 VIE65559:VIF65559 VSA65559:VSB65559 WBW65559:WBX65559 WLS65559:WLT65559 WVO65559:WVP65559 Q131095:R131095 JC131095:JD131095 SY131095:SZ131095 ACU131095:ACV131095 AMQ131095:AMR131095 AWM131095:AWN131095 BGI131095:BGJ131095 BQE131095:BQF131095 CAA131095:CAB131095 CJW131095:CJX131095 CTS131095:CTT131095 DDO131095:DDP131095 DNK131095:DNL131095 DXG131095:DXH131095 EHC131095:EHD131095 EQY131095:EQZ131095 FAU131095:FAV131095 FKQ131095:FKR131095 FUM131095:FUN131095 GEI131095:GEJ131095 GOE131095:GOF131095 GYA131095:GYB131095 HHW131095:HHX131095 HRS131095:HRT131095 IBO131095:IBP131095 ILK131095:ILL131095 IVG131095:IVH131095 JFC131095:JFD131095 JOY131095:JOZ131095 JYU131095:JYV131095 KIQ131095:KIR131095 KSM131095:KSN131095 LCI131095:LCJ131095 LME131095:LMF131095 LWA131095:LWB131095 MFW131095:MFX131095 MPS131095:MPT131095 MZO131095:MZP131095 NJK131095:NJL131095 NTG131095:NTH131095 ODC131095:ODD131095 OMY131095:OMZ131095 OWU131095:OWV131095 PGQ131095:PGR131095 PQM131095:PQN131095 QAI131095:QAJ131095 QKE131095:QKF131095 QUA131095:QUB131095 RDW131095:RDX131095 RNS131095:RNT131095 RXO131095:RXP131095 SHK131095:SHL131095 SRG131095:SRH131095 TBC131095:TBD131095 TKY131095:TKZ131095 TUU131095:TUV131095 UEQ131095:UER131095 UOM131095:UON131095 UYI131095:UYJ131095 VIE131095:VIF131095 VSA131095:VSB131095 WBW131095:WBX131095 WLS131095:WLT131095 WVO131095:WVP131095 Q196631:R196631 JC196631:JD196631 SY196631:SZ196631 ACU196631:ACV196631 AMQ196631:AMR196631 AWM196631:AWN196631 BGI196631:BGJ196631 BQE196631:BQF196631 CAA196631:CAB196631 CJW196631:CJX196631 CTS196631:CTT196631 DDO196631:DDP196631 DNK196631:DNL196631 DXG196631:DXH196631 EHC196631:EHD196631 EQY196631:EQZ196631 FAU196631:FAV196631 FKQ196631:FKR196631 FUM196631:FUN196631 GEI196631:GEJ196631 GOE196631:GOF196631 GYA196631:GYB196631 HHW196631:HHX196631 HRS196631:HRT196631 IBO196631:IBP196631 ILK196631:ILL196631 IVG196631:IVH196631 JFC196631:JFD196631 JOY196631:JOZ196631 JYU196631:JYV196631 KIQ196631:KIR196631 KSM196631:KSN196631 LCI196631:LCJ196631 LME196631:LMF196631 LWA196631:LWB196631 MFW196631:MFX196631 MPS196631:MPT196631 MZO196631:MZP196631 NJK196631:NJL196631 NTG196631:NTH196631 ODC196631:ODD196631 OMY196631:OMZ196631 OWU196631:OWV196631 PGQ196631:PGR196631 PQM196631:PQN196631 QAI196631:QAJ196631 QKE196631:QKF196631 QUA196631:QUB196631 RDW196631:RDX196631 RNS196631:RNT196631 RXO196631:RXP196631 SHK196631:SHL196631 SRG196631:SRH196631 TBC196631:TBD196631 TKY196631:TKZ196631 TUU196631:TUV196631 UEQ196631:UER196631 UOM196631:UON196631 UYI196631:UYJ196631 VIE196631:VIF196631 VSA196631:VSB196631 WBW196631:WBX196631 WLS196631:WLT196631 WVO196631:WVP196631 Q262167:R262167 JC262167:JD262167 SY262167:SZ262167 ACU262167:ACV262167 AMQ262167:AMR262167 AWM262167:AWN262167 BGI262167:BGJ262167 BQE262167:BQF262167 CAA262167:CAB262167 CJW262167:CJX262167 CTS262167:CTT262167 DDO262167:DDP262167 DNK262167:DNL262167 DXG262167:DXH262167 EHC262167:EHD262167 EQY262167:EQZ262167 FAU262167:FAV262167 FKQ262167:FKR262167 FUM262167:FUN262167 GEI262167:GEJ262167 GOE262167:GOF262167 GYA262167:GYB262167 HHW262167:HHX262167 HRS262167:HRT262167 IBO262167:IBP262167 ILK262167:ILL262167 IVG262167:IVH262167 JFC262167:JFD262167 JOY262167:JOZ262167 JYU262167:JYV262167 KIQ262167:KIR262167 KSM262167:KSN262167 LCI262167:LCJ262167 LME262167:LMF262167 LWA262167:LWB262167 MFW262167:MFX262167 MPS262167:MPT262167 MZO262167:MZP262167 NJK262167:NJL262167 NTG262167:NTH262167 ODC262167:ODD262167 OMY262167:OMZ262167 OWU262167:OWV262167 PGQ262167:PGR262167 PQM262167:PQN262167 QAI262167:QAJ262167 QKE262167:QKF262167 QUA262167:QUB262167 RDW262167:RDX262167 RNS262167:RNT262167 RXO262167:RXP262167 SHK262167:SHL262167 SRG262167:SRH262167 TBC262167:TBD262167 TKY262167:TKZ262167 TUU262167:TUV262167 UEQ262167:UER262167 UOM262167:UON262167 UYI262167:UYJ262167 VIE262167:VIF262167 VSA262167:VSB262167 WBW262167:WBX262167 WLS262167:WLT262167 WVO262167:WVP262167 Q327703:R327703 JC327703:JD327703 SY327703:SZ327703 ACU327703:ACV327703 AMQ327703:AMR327703 AWM327703:AWN327703 BGI327703:BGJ327703 BQE327703:BQF327703 CAA327703:CAB327703 CJW327703:CJX327703 CTS327703:CTT327703 DDO327703:DDP327703 DNK327703:DNL327703 DXG327703:DXH327703 EHC327703:EHD327703 EQY327703:EQZ327703 FAU327703:FAV327703 FKQ327703:FKR327703 FUM327703:FUN327703 GEI327703:GEJ327703 GOE327703:GOF327703 GYA327703:GYB327703 HHW327703:HHX327703 HRS327703:HRT327703 IBO327703:IBP327703 ILK327703:ILL327703 IVG327703:IVH327703 JFC327703:JFD327703 JOY327703:JOZ327703 JYU327703:JYV327703 KIQ327703:KIR327703 KSM327703:KSN327703 LCI327703:LCJ327703 LME327703:LMF327703 LWA327703:LWB327703 MFW327703:MFX327703 MPS327703:MPT327703 MZO327703:MZP327703 NJK327703:NJL327703 NTG327703:NTH327703 ODC327703:ODD327703 OMY327703:OMZ327703 OWU327703:OWV327703 PGQ327703:PGR327703 PQM327703:PQN327703 QAI327703:QAJ327703 QKE327703:QKF327703 QUA327703:QUB327703 RDW327703:RDX327703 RNS327703:RNT327703 RXO327703:RXP327703 SHK327703:SHL327703 SRG327703:SRH327703 TBC327703:TBD327703 TKY327703:TKZ327703 TUU327703:TUV327703 UEQ327703:UER327703 UOM327703:UON327703 UYI327703:UYJ327703 VIE327703:VIF327703 VSA327703:VSB327703 WBW327703:WBX327703 WLS327703:WLT327703 WVO327703:WVP327703 Q393239:R393239 JC393239:JD393239 SY393239:SZ393239 ACU393239:ACV393239 AMQ393239:AMR393239 AWM393239:AWN393239 BGI393239:BGJ393239 BQE393239:BQF393239 CAA393239:CAB393239 CJW393239:CJX393239 CTS393239:CTT393239 DDO393239:DDP393239 DNK393239:DNL393239 DXG393239:DXH393239 EHC393239:EHD393239 EQY393239:EQZ393239 FAU393239:FAV393239 FKQ393239:FKR393239 FUM393239:FUN393239 GEI393239:GEJ393239 GOE393239:GOF393239 GYA393239:GYB393239 HHW393239:HHX393239 HRS393239:HRT393239 IBO393239:IBP393239 ILK393239:ILL393239 IVG393239:IVH393239 JFC393239:JFD393239 JOY393239:JOZ393239 JYU393239:JYV393239 KIQ393239:KIR393239 KSM393239:KSN393239 LCI393239:LCJ393239 LME393239:LMF393239 LWA393239:LWB393239 MFW393239:MFX393239 MPS393239:MPT393239 MZO393239:MZP393239 NJK393239:NJL393239 NTG393239:NTH393239 ODC393239:ODD393239 OMY393239:OMZ393239 OWU393239:OWV393239 PGQ393239:PGR393239 PQM393239:PQN393239 QAI393239:QAJ393239 QKE393239:QKF393239 QUA393239:QUB393239 RDW393239:RDX393239 RNS393239:RNT393239 RXO393239:RXP393239 SHK393239:SHL393239 SRG393239:SRH393239 TBC393239:TBD393239 TKY393239:TKZ393239 TUU393239:TUV393239 UEQ393239:UER393239 UOM393239:UON393239 UYI393239:UYJ393239 VIE393239:VIF393239 VSA393239:VSB393239 WBW393239:WBX393239 WLS393239:WLT393239 WVO393239:WVP393239 Q458775:R458775 JC458775:JD458775 SY458775:SZ458775 ACU458775:ACV458775 AMQ458775:AMR458775 AWM458775:AWN458775 BGI458775:BGJ458775 BQE458775:BQF458775 CAA458775:CAB458775 CJW458775:CJX458775 CTS458775:CTT458775 DDO458775:DDP458775 DNK458775:DNL458775 DXG458775:DXH458775 EHC458775:EHD458775 EQY458775:EQZ458775 FAU458775:FAV458775 FKQ458775:FKR458775 FUM458775:FUN458775 GEI458775:GEJ458775 GOE458775:GOF458775 GYA458775:GYB458775 HHW458775:HHX458775 HRS458775:HRT458775 IBO458775:IBP458775 ILK458775:ILL458775 IVG458775:IVH458775 JFC458775:JFD458775 JOY458775:JOZ458775 JYU458775:JYV458775 KIQ458775:KIR458775 KSM458775:KSN458775 LCI458775:LCJ458775 LME458775:LMF458775 LWA458775:LWB458775 MFW458775:MFX458775 MPS458775:MPT458775 MZO458775:MZP458775 NJK458775:NJL458775 NTG458775:NTH458775 ODC458775:ODD458775 OMY458775:OMZ458775 OWU458775:OWV458775 PGQ458775:PGR458775 PQM458775:PQN458775 QAI458775:QAJ458775 QKE458775:QKF458775 QUA458775:QUB458775 RDW458775:RDX458775 RNS458775:RNT458775 RXO458775:RXP458775 SHK458775:SHL458775 SRG458775:SRH458775 TBC458775:TBD458775 TKY458775:TKZ458775 TUU458775:TUV458775 UEQ458775:UER458775 UOM458775:UON458775 UYI458775:UYJ458775 VIE458775:VIF458775 VSA458775:VSB458775 WBW458775:WBX458775 WLS458775:WLT458775 WVO458775:WVP458775 Q524311:R524311 JC524311:JD524311 SY524311:SZ524311 ACU524311:ACV524311 AMQ524311:AMR524311 AWM524311:AWN524311 BGI524311:BGJ524311 BQE524311:BQF524311 CAA524311:CAB524311 CJW524311:CJX524311 CTS524311:CTT524311 DDO524311:DDP524311 DNK524311:DNL524311 DXG524311:DXH524311 EHC524311:EHD524311 EQY524311:EQZ524311 FAU524311:FAV524311 FKQ524311:FKR524311 FUM524311:FUN524311 GEI524311:GEJ524311 GOE524311:GOF524311 GYA524311:GYB524311 HHW524311:HHX524311 HRS524311:HRT524311 IBO524311:IBP524311 ILK524311:ILL524311 IVG524311:IVH524311 JFC524311:JFD524311 JOY524311:JOZ524311 JYU524311:JYV524311 KIQ524311:KIR524311 KSM524311:KSN524311 LCI524311:LCJ524311 LME524311:LMF524311 LWA524311:LWB524311 MFW524311:MFX524311 MPS524311:MPT524311 MZO524311:MZP524311 NJK524311:NJL524311 NTG524311:NTH524311 ODC524311:ODD524311 OMY524311:OMZ524311 OWU524311:OWV524311 PGQ524311:PGR524311 PQM524311:PQN524311 QAI524311:QAJ524311 QKE524311:QKF524311 QUA524311:QUB524311 RDW524311:RDX524311 RNS524311:RNT524311 RXO524311:RXP524311 SHK524311:SHL524311 SRG524311:SRH524311 TBC524311:TBD524311 TKY524311:TKZ524311 TUU524311:TUV524311 UEQ524311:UER524311 UOM524311:UON524311 UYI524311:UYJ524311 VIE524311:VIF524311 VSA524311:VSB524311 WBW524311:WBX524311 WLS524311:WLT524311 WVO524311:WVP524311 Q589847:R589847 JC589847:JD589847 SY589847:SZ589847 ACU589847:ACV589847 AMQ589847:AMR589847 AWM589847:AWN589847 BGI589847:BGJ589847 BQE589847:BQF589847 CAA589847:CAB589847 CJW589847:CJX589847 CTS589847:CTT589847 DDO589847:DDP589847 DNK589847:DNL589847 DXG589847:DXH589847 EHC589847:EHD589847 EQY589847:EQZ589847 FAU589847:FAV589847 FKQ589847:FKR589847 FUM589847:FUN589847 GEI589847:GEJ589847 GOE589847:GOF589847 GYA589847:GYB589847 HHW589847:HHX589847 HRS589847:HRT589847 IBO589847:IBP589847 ILK589847:ILL589847 IVG589847:IVH589847 JFC589847:JFD589847 JOY589847:JOZ589847 JYU589847:JYV589847 KIQ589847:KIR589847 KSM589847:KSN589847 LCI589847:LCJ589847 LME589847:LMF589847 LWA589847:LWB589847 MFW589847:MFX589847 MPS589847:MPT589847 MZO589847:MZP589847 NJK589847:NJL589847 NTG589847:NTH589847 ODC589847:ODD589847 OMY589847:OMZ589847 OWU589847:OWV589847 PGQ589847:PGR589847 PQM589847:PQN589847 QAI589847:QAJ589847 QKE589847:QKF589847 QUA589847:QUB589847 RDW589847:RDX589847 RNS589847:RNT589847 RXO589847:RXP589847 SHK589847:SHL589847 SRG589847:SRH589847 TBC589847:TBD589847 TKY589847:TKZ589847 TUU589847:TUV589847 UEQ589847:UER589847 UOM589847:UON589847 UYI589847:UYJ589847 VIE589847:VIF589847 VSA589847:VSB589847 WBW589847:WBX589847 WLS589847:WLT589847 WVO589847:WVP589847 Q655383:R655383 JC655383:JD655383 SY655383:SZ655383 ACU655383:ACV655383 AMQ655383:AMR655383 AWM655383:AWN655383 BGI655383:BGJ655383 BQE655383:BQF655383 CAA655383:CAB655383 CJW655383:CJX655383 CTS655383:CTT655383 DDO655383:DDP655383 DNK655383:DNL655383 DXG655383:DXH655383 EHC655383:EHD655383 EQY655383:EQZ655383 FAU655383:FAV655383 FKQ655383:FKR655383 FUM655383:FUN655383 GEI655383:GEJ655383 GOE655383:GOF655383 GYA655383:GYB655383 HHW655383:HHX655383 HRS655383:HRT655383 IBO655383:IBP655383 ILK655383:ILL655383 IVG655383:IVH655383 JFC655383:JFD655383 JOY655383:JOZ655383 JYU655383:JYV655383 KIQ655383:KIR655383 KSM655383:KSN655383 LCI655383:LCJ655383 LME655383:LMF655383 LWA655383:LWB655383 MFW655383:MFX655383 MPS655383:MPT655383 MZO655383:MZP655383 NJK655383:NJL655383 NTG655383:NTH655383 ODC655383:ODD655383 OMY655383:OMZ655383 OWU655383:OWV655383 PGQ655383:PGR655383 PQM655383:PQN655383 QAI655383:QAJ655383 QKE655383:QKF655383 QUA655383:QUB655383 RDW655383:RDX655383 RNS655383:RNT655383 RXO655383:RXP655383 SHK655383:SHL655383 SRG655383:SRH655383 TBC655383:TBD655383 TKY655383:TKZ655383 TUU655383:TUV655383 UEQ655383:UER655383 UOM655383:UON655383 UYI655383:UYJ655383 VIE655383:VIF655383 VSA655383:VSB655383 WBW655383:WBX655383 WLS655383:WLT655383 WVO655383:WVP655383 Q720919:R720919 JC720919:JD720919 SY720919:SZ720919 ACU720919:ACV720919 AMQ720919:AMR720919 AWM720919:AWN720919 BGI720919:BGJ720919 BQE720919:BQF720919 CAA720919:CAB720919 CJW720919:CJX720919 CTS720919:CTT720919 DDO720919:DDP720919 DNK720919:DNL720919 DXG720919:DXH720919 EHC720919:EHD720919 EQY720919:EQZ720919 FAU720919:FAV720919 FKQ720919:FKR720919 FUM720919:FUN720919 GEI720919:GEJ720919 GOE720919:GOF720919 GYA720919:GYB720919 HHW720919:HHX720919 HRS720919:HRT720919 IBO720919:IBP720919 ILK720919:ILL720919 IVG720919:IVH720919 JFC720919:JFD720919 JOY720919:JOZ720919 JYU720919:JYV720919 KIQ720919:KIR720919 KSM720919:KSN720919 LCI720919:LCJ720919 LME720919:LMF720919 LWA720919:LWB720919 MFW720919:MFX720919 MPS720919:MPT720919 MZO720919:MZP720919 NJK720919:NJL720919 NTG720919:NTH720919 ODC720919:ODD720919 OMY720919:OMZ720919 OWU720919:OWV720919 PGQ720919:PGR720919 PQM720919:PQN720919 QAI720919:QAJ720919 QKE720919:QKF720919 QUA720919:QUB720919 RDW720919:RDX720919 RNS720919:RNT720919 RXO720919:RXP720919 SHK720919:SHL720919 SRG720919:SRH720919 TBC720919:TBD720919 TKY720919:TKZ720919 TUU720919:TUV720919 UEQ720919:UER720919 UOM720919:UON720919 UYI720919:UYJ720919 VIE720919:VIF720919 VSA720919:VSB720919 WBW720919:WBX720919 WLS720919:WLT720919 WVO720919:WVP720919 Q786455:R786455 JC786455:JD786455 SY786455:SZ786455 ACU786455:ACV786455 AMQ786455:AMR786455 AWM786455:AWN786455 BGI786455:BGJ786455 BQE786455:BQF786455 CAA786455:CAB786455 CJW786455:CJX786455 CTS786455:CTT786455 DDO786455:DDP786455 DNK786455:DNL786455 DXG786455:DXH786455 EHC786455:EHD786455 EQY786455:EQZ786455 FAU786455:FAV786455 FKQ786455:FKR786455 FUM786455:FUN786455 GEI786455:GEJ786455 GOE786455:GOF786455 GYA786455:GYB786455 HHW786455:HHX786455 HRS786455:HRT786455 IBO786455:IBP786455 ILK786455:ILL786455 IVG786455:IVH786455 JFC786455:JFD786455 JOY786455:JOZ786455 JYU786455:JYV786455 KIQ786455:KIR786455 KSM786455:KSN786455 LCI786455:LCJ786455 LME786455:LMF786455 LWA786455:LWB786455 MFW786455:MFX786455 MPS786455:MPT786455 MZO786455:MZP786455 NJK786455:NJL786455 NTG786455:NTH786455 ODC786455:ODD786455 OMY786455:OMZ786455 OWU786455:OWV786455 PGQ786455:PGR786455 PQM786455:PQN786455 QAI786455:QAJ786455 QKE786455:QKF786455 QUA786455:QUB786455 RDW786455:RDX786455 RNS786455:RNT786455 RXO786455:RXP786455 SHK786455:SHL786455 SRG786455:SRH786455 TBC786455:TBD786455 TKY786455:TKZ786455 TUU786455:TUV786455 UEQ786455:UER786455 UOM786455:UON786455 UYI786455:UYJ786455 VIE786455:VIF786455 VSA786455:VSB786455 WBW786455:WBX786455 WLS786455:WLT786455 WVO786455:WVP786455 Q851991:R851991 JC851991:JD851991 SY851991:SZ851991 ACU851991:ACV851991 AMQ851991:AMR851991 AWM851991:AWN851991 BGI851991:BGJ851991 BQE851991:BQF851991 CAA851991:CAB851991 CJW851991:CJX851991 CTS851991:CTT851991 DDO851991:DDP851991 DNK851991:DNL851991 DXG851991:DXH851991 EHC851991:EHD851991 EQY851991:EQZ851991 FAU851991:FAV851991 FKQ851991:FKR851991 FUM851991:FUN851991 GEI851991:GEJ851991 GOE851991:GOF851991 GYA851991:GYB851991 HHW851991:HHX851991 HRS851991:HRT851991 IBO851991:IBP851991 ILK851991:ILL851991 IVG851991:IVH851991 JFC851991:JFD851991 JOY851991:JOZ851991 JYU851991:JYV851991 KIQ851991:KIR851991 KSM851991:KSN851991 LCI851991:LCJ851991 LME851991:LMF851991 LWA851991:LWB851991 MFW851991:MFX851991 MPS851991:MPT851991 MZO851991:MZP851991 NJK851991:NJL851991 NTG851991:NTH851991 ODC851991:ODD851991 OMY851991:OMZ851991 OWU851991:OWV851991 PGQ851991:PGR851991 PQM851991:PQN851991 QAI851991:QAJ851991 QKE851991:QKF851991 QUA851991:QUB851991 RDW851991:RDX851991 RNS851991:RNT851991 RXO851991:RXP851991 SHK851991:SHL851991 SRG851991:SRH851991 TBC851991:TBD851991 TKY851991:TKZ851991 TUU851991:TUV851991 UEQ851991:UER851991 UOM851991:UON851991 UYI851991:UYJ851991 VIE851991:VIF851991 VSA851991:VSB851991 WBW851991:WBX851991 WLS851991:WLT851991 WVO851991:WVP851991 Q917527:R917527 JC917527:JD917527 SY917527:SZ917527 ACU917527:ACV917527 AMQ917527:AMR917527 AWM917527:AWN917527 BGI917527:BGJ917527 BQE917527:BQF917527 CAA917527:CAB917527 CJW917527:CJX917527 CTS917527:CTT917527 DDO917527:DDP917527 DNK917527:DNL917527 DXG917527:DXH917527 EHC917527:EHD917527 EQY917527:EQZ917527 FAU917527:FAV917527 FKQ917527:FKR917527 FUM917527:FUN917527 GEI917527:GEJ917527 GOE917527:GOF917527 GYA917527:GYB917527 HHW917527:HHX917527 HRS917527:HRT917527 IBO917527:IBP917527 ILK917527:ILL917527 IVG917527:IVH917527 JFC917527:JFD917527 JOY917527:JOZ917527 JYU917527:JYV917527 KIQ917527:KIR917527 KSM917527:KSN917527 LCI917527:LCJ917527 LME917527:LMF917527 LWA917527:LWB917527 MFW917527:MFX917527 MPS917527:MPT917527 MZO917527:MZP917527 NJK917527:NJL917527 NTG917527:NTH917527 ODC917527:ODD917527 OMY917527:OMZ917527 OWU917527:OWV917527 PGQ917527:PGR917527 PQM917527:PQN917527 QAI917527:QAJ917527 QKE917527:QKF917527 QUA917527:QUB917527 RDW917527:RDX917527 RNS917527:RNT917527 RXO917527:RXP917527 SHK917527:SHL917527 SRG917527:SRH917527 TBC917527:TBD917527 TKY917527:TKZ917527 TUU917527:TUV917527 UEQ917527:UER917527 UOM917527:UON917527 UYI917527:UYJ917527 VIE917527:VIF917527 VSA917527:VSB917527 WBW917527:WBX917527 WLS917527:WLT917527 WVO917527:WVP917527 Q983063:R983063 JC983063:JD983063 SY983063:SZ983063 ACU983063:ACV983063 AMQ983063:AMR983063 AWM983063:AWN983063 BGI983063:BGJ983063 BQE983063:BQF983063 CAA983063:CAB983063 CJW983063:CJX983063 CTS983063:CTT983063 DDO983063:DDP983063 DNK983063:DNL983063 DXG983063:DXH983063 EHC983063:EHD983063 EQY983063:EQZ983063 FAU983063:FAV983063 FKQ983063:FKR983063 FUM983063:FUN983063 GEI983063:GEJ983063 GOE983063:GOF983063 GYA983063:GYB983063 HHW983063:HHX983063 HRS983063:HRT983063 IBO983063:IBP983063 ILK983063:ILL983063 IVG983063:IVH983063 JFC983063:JFD983063 JOY983063:JOZ983063 JYU983063:JYV983063 KIQ983063:KIR983063 KSM983063:KSN983063 LCI983063:LCJ983063 LME983063:LMF983063 LWA983063:LWB983063 MFW983063:MFX983063 MPS983063:MPT983063 MZO983063:MZP983063 NJK983063:NJL983063 NTG983063:NTH983063 ODC983063:ODD983063 OMY983063:OMZ983063 OWU983063:OWV983063 PGQ983063:PGR983063 PQM983063:PQN983063 QAI983063:QAJ983063 QKE983063:QKF983063 QUA983063:QUB983063 RDW983063:RDX983063 RNS983063:RNT983063 RXO983063:RXP983063 SHK983063:SHL983063 SRG983063:SRH983063 TBC983063:TBD983063 TKY983063:TKZ983063 TUU983063:TUV983063 UEQ983063:UER983063 UOM983063:UON983063 UYI983063:UYJ983063 VIE983063:VIF983063 VSA983063:VSB983063 WBW983063:WBX983063 WLS983063:WLT983063 SY23:SZ23">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H23 TD23 V131095 T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MPV65559 MZR65559 NJN65559 NTJ65559 ODF65559 ONB65559 OWX65559 PGT65559 PQP65559 QAL65559 QKH65559 QUD65559 RDZ65559 RNV65559 RXR65559 SHN65559 SRJ65559 TBF65559 TLB65559 TUX65559 UET65559 UOP65559 UYL65559 VIH65559 VSD65559 WBZ65559 WLV65559 WVR65559 T131095 JF131095 TB131095 ACX131095 AMT131095 AWP131095 BGL131095 BQH131095 CAD131095 CJZ131095 CTV131095 DDR131095 DNN131095 DXJ131095 EHF131095 ERB131095 FAX131095 FKT131095 FUP131095 GEL131095 GOH131095 GYD131095 HHZ131095 HRV131095 IBR131095 ILN131095 IVJ131095 JFF131095 JPB131095 JYX131095 KIT131095 KSP131095 LCL131095 LMH131095 LWD131095 MFZ131095 MPV131095 MZR131095 NJN131095 NTJ131095 ODF131095 ONB131095 OWX131095 PGT131095 PQP131095 QAL131095 QKH131095 QUD131095 RDZ131095 RNV131095 RXR131095 SHN131095 SRJ131095 TBF131095 TLB131095 TUX131095 UET131095 UOP131095 UYL131095 VIH131095 VSD131095 WBZ131095 WLV131095 WVR131095 T196631 JF196631 TB196631 ACX196631 AMT196631 AWP196631 BGL196631 BQH196631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UYL196631 VIH196631 VSD196631 WBZ196631 WLV196631 WVR196631 T262167 JF262167 TB262167 ACX262167 AMT262167 AWP262167 BGL262167 BQH262167 CAD262167 CJZ262167 CTV262167 DDR262167 DNN262167 DXJ262167 EHF262167 ERB262167 FAX262167 FKT262167 FUP262167 GEL262167 GOH262167 GYD262167 HHZ262167 HRV262167 IBR262167 ILN262167 IVJ262167 JFF262167 JPB262167 JYX262167 KIT262167 KSP262167 LCL262167 LMH262167 LWD262167 MFZ262167 MPV262167 MZR262167 NJN262167 NTJ262167 ODF262167 ONB262167 OWX262167 PGT262167 PQP262167 QAL262167 QKH262167 QUD262167 RDZ262167 RNV262167 RXR262167 SHN262167 SRJ262167 TBF262167 TLB262167 TUX262167 UET262167 UOP262167 UYL262167 VIH262167 VSD262167 WBZ262167 WLV262167 WVR262167 T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KIT327703 KSP327703 LCL327703 LMH327703 LWD327703 MFZ327703 MPV327703 MZR327703 NJN327703 NTJ327703 ODF327703 ONB327703 OWX327703 PGT327703 PQP327703 QAL327703 QKH327703 QUD327703 RDZ327703 RNV327703 RXR327703 SHN327703 SRJ327703 TBF327703 TLB327703 TUX327703 UET327703 UOP327703 UYL327703 VIH327703 VSD327703 WBZ327703 WLV327703 WVR327703 T393239 JF393239 TB393239 ACX393239 AMT393239 AWP393239 BGL393239 BQH393239 CAD393239 CJZ393239 CTV393239 DDR393239 DNN393239 DXJ393239 EHF393239 ERB393239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T458775 JF458775 TB458775 ACX458775 AMT458775 AWP458775 BGL458775 BQH458775 CAD458775 CJZ458775 CTV458775 DDR458775 DNN458775 DXJ458775 EHF458775 ERB458775 FAX458775 FKT458775 FUP458775 GEL458775 GOH458775 GYD458775 HHZ458775 HRV458775 IBR458775 ILN458775 IVJ458775 JFF458775 JPB458775 JYX458775 KIT458775 KSP458775 LCL458775 LMH458775 LWD458775 MFZ458775 MPV458775 MZR458775 NJN458775 NTJ458775 ODF458775 ONB458775 OWX458775 PGT458775 PQP458775 QAL458775 QKH458775 QUD458775 RDZ458775 RNV458775 RXR458775 SHN458775 SRJ458775 TBF458775 TLB458775 TUX458775 UET458775 UOP458775 UYL458775 VIH458775 VSD458775 WBZ458775 WLV458775 WVR458775 T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NJN524311 NTJ524311 ODF524311 ONB524311 OWX524311 PGT524311 PQP524311 QAL524311 QKH524311 QUD524311 RDZ524311 RNV524311 RXR524311 SHN524311 SRJ524311 TBF524311 TLB524311 TUX524311 UET524311 UOP524311 UYL524311 VIH524311 VSD524311 WBZ524311 WLV524311 WVR524311 T589847 JF589847 TB589847 ACX589847 AMT589847 AWP589847 BGL589847 BQH589847 CAD589847 CJZ589847 CTV589847 DDR589847 DNN589847 DXJ589847 EHF589847 ERB589847 FAX589847 FKT589847 FUP589847 GEL589847 GOH589847 GYD589847 HHZ589847 HRV589847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T655383 JF655383 TB655383 ACX655383 AMT655383 AWP655383 BGL655383 BQH655383 CAD655383 CJZ655383 CTV655383 DDR655383 DNN655383 DXJ655383 EHF655383 ERB655383 FAX655383 FKT655383 FUP655383 GEL655383 GOH655383 GYD655383 HHZ655383 HRV655383 IBR655383 ILN655383 IVJ655383 JFF655383 JPB655383 JYX655383 KIT655383 KSP655383 LCL655383 LMH655383 LWD655383 MFZ655383 MPV655383 MZR655383 NJN655383 NTJ655383 ODF655383 ONB655383 OWX655383 PGT655383 PQP655383 QAL655383 QKH655383 QUD655383 RDZ655383 RNV655383 RXR655383 SHN655383 SRJ655383 TBF655383 TLB655383 TUX655383 UET655383 UOP655383 UYL655383 VIH655383 VSD655383 WBZ655383 WLV655383 WVR655383 T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QKH720919 QUD720919 RDZ720919 RNV720919 RXR720919 SHN720919 SRJ720919 TBF720919 TLB720919 TUX720919 UET720919 UOP720919 UYL720919 VIH720919 VSD720919 WBZ720919 WLV720919 WVR720919 T786455 JF786455 TB786455 ACX786455 AMT786455 AWP786455 BGL786455 BQH786455 CAD786455 CJZ786455 CTV786455 DDR786455 DNN786455 DXJ786455 EHF786455 ERB786455 FAX786455 FKT786455 FUP786455 GEL786455 GOH786455 GYD786455 HHZ786455 HRV786455 IBR786455 ILN786455 IVJ786455 JFF786455 JPB786455 JYX786455 KIT786455 KSP786455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T851991 JF851991 TB851991 ACX851991 AMT851991 AWP851991 BGL851991 BQH851991 CAD851991 CJZ851991 CTV851991 DDR851991 DNN851991 DXJ851991 EHF851991 ERB851991 FAX851991 FKT851991 FUP851991 GEL851991 GOH851991 GYD851991 HHZ851991 HRV851991 IBR851991 ILN851991 IVJ851991 JFF851991 JPB851991 JYX851991 KIT851991 KSP851991 LCL851991 LMH851991 LWD851991 MFZ851991 MPV851991 MZR851991 NJN851991 NTJ851991 ODF851991 ONB851991 OWX851991 PGT851991 PQP851991 QAL851991 QKH851991 QUD851991 RDZ851991 RNV851991 RXR851991 SHN851991 SRJ851991 TBF851991 TLB851991 TUX851991 UET851991 UOP851991 UYL851991 VIH851991 VSD851991 WBZ851991 WLV851991 WVR851991 T917527 JF917527 TB917527 ACX917527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TLB917527 TUX917527 UET917527 UOP917527 UYL917527 VIH917527 VSD917527 WBZ917527 WLV917527 WVR917527 T983063 JF983063 TB983063 ACX983063 AMT983063 AWP983063 BGL983063 BQH983063 CAD983063 CJZ983063 CTV983063 DDR983063 DNN983063 DXJ983063 EHF983063 ERB983063 FAX983063 FKT983063 FUP983063 GEL983063 GOH983063 GYD983063 HHZ983063 HRV983063 IBR983063 ILN983063 IVJ983063 JFF983063 JPB983063 JYX983063 KIT983063 KSP983063 LCL983063 LMH983063 LWD983063 MFZ983063 MPV983063 MZR983063 NJN983063 NTJ983063 ODF983063 ONB983063 OWX983063 PGT983063 PQP983063 QAL983063 QKH983063 QUD983063 RDZ983063 RNV983063 RXR983063 SHN983063 SRJ983063 TBF983063 TLB983063 TUX983063 UET983063 UOP983063 UYL983063 VIH983063 VSD983063 WBZ983063 WLV983063 WVR983063 ACZ23 AMV23 AWR23 BGN23 BQJ23 CAF23 CKB23 CTX23 DDT23 DNP23 DXL23 EHH23 ERD23 FAZ23 FKV23 FUR23 GEN23 GOJ23 GYF23 HIB23 HRX23 IBT23 ILP23 IVL23 JFH23 JPD23 JYZ23 KIV23 KSR23 LCN23 LMJ23 LWF23 MGB23 MPX23 MZT23 NJP23 NTL23 ODH23 OND23 OWZ23 PGV23 PQR23 QAN23 QKJ23 QUF23 REB23 RNX23 RXT23 SHP23 SRL23 TBH23 TLD23 TUZ23 UEV23 UOR23 UYN23 VIJ23 VSF23 WCB23 WLX23 WVT23 T23 V196631 JF23 V262167 JH65559 TD65559 ACZ65559 AMV65559 AWR65559 BGN65559 BQJ65559 CAF65559 CKB65559 CTX65559 DDT65559 DNP65559 DXL65559 EHH65559 ERD65559 FAZ65559 FKV65559 FUR65559 GEN65559 GOJ65559 GYF65559 HIB65559 HRX65559 IBT65559 ILP65559 IVL65559 JFH65559 JPD65559 JYZ65559 KIV65559 KSR65559 LCN65559 LMJ65559 LWF65559 MGB65559 MPX65559 MZT65559 NJP65559 NTL65559 ODH65559 OND65559 OWZ65559 PGV65559 PQR65559 QAN65559 QKJ65559 QUF65559 REB65559 RNX65559 RXT65559 SHP65559 SRL65559 TBH65559 TLD65559 TUZ65559 UEV65559 UOR65559 UYN65559 VIJ65559 VSF65559 WCB65559 WLX65559 WVT65559 V327703 JH131095 TD131095 ACZ131095 AMV131095 AWR131095 BGN131095 BQJ131095 CAF131095 CKB131095 CTX131095 DDT131095 DNP131095 DXL131095 EHH131095 ERD131095 FAZ131095 FKV131095 FUR131095 GEN131095 GOJ131095 GYF131095 HIB131095 HRX131095 IBT131095 ILP131095 IVL131095 JFH131095 JPD131095 JYZ131095 KIV131095 KSR131095 LCN131095 LMJ131095 LWF131095 MGB131095 MPX131095 MZT131095 NJP131095 NTL131095 ODH131095 OND131095 OWZ131095 PGV131095 PQR131095 QAN131095 QKJ131095 QUF131095 REB131095 RNX131095 RXT131095 SHP131095 SRL131095 TBH131095 TLD131095 TUZ131095 UEV131095 UOR131095 UYN131095 VIJ131095 VSF131095 WCB131095 WLX131095 WVT131095 V393239 JH196631 TD196631 ACZ196631 AMV196631 AWR196631 BGN196631 BQJ196631 CAF196631 CKB196631 CTX196631 DDT196631 DNP196631 DXL196631 EHH196631 ERD196631 FAZ196631 FKV196631 FUR196631 GEN196631 GOJ196631 GYF196631 HIB196631 HRX196631 IBT196631 ILP196631 IVL196631 JFH196631 JPD196631 JYZ196631 KIV196631 KSR196631 LCN196631 LMJ196631 LWF196631 MGB196631 MPX196631 MZT196631 NJP196631 NTL196631 ODH196631 OND196631 OWZ196631 PGV196631 PQR196631 QAN196631 QKJ196631 QUF196631 REB196631 RNX196631 RXT196631 SHP196631 SRL196631 TBH196631 TLD196631 TUZ196631 UEV196631 UOR196631 UYN196631 VIJ196631 VSF196631 WCB196631 WLX196631 WVT196631 V458775 JH262167 TD262167 ACZ262167 AMV262167 AWR262167 BGN262167 BQJ262167 CAF262167 CKB262167 CTX262167 DDT262167 DNP262167 DXL262167 EHH262167 ERD262167 FAZ262167 FKV262167 FUR262167 GEN262167 GOJ262167 GYF262167 HIB262167 HRX262167 IBT262167 ILP262167 IVL262167 JFH262167 JPD262167 JYZ262167 KIV262167 KSR262167 LCN262167 LMJ262167 LWF262167 MGB262167 MPX262167 MZT262167 NJP262167 NTL262167 ODH262167 OND262167 OWZ262167 PGV262167 PQR262167 QAN262167 QKJ262167 QUF262167 REB262167 RNX262167 RXT262167 SHP262167 SRL262167 TBH262167 TLD262167 TUZ262167 UEV262167 UOR262167 UYN262167 VIJ262167 VSF262167 WCB262167 WLX262167 WVT262167 V524311 JH327703 TD327703 ACZ327703 AMV327703 AWR327703 BGN327703 BQJ327703 CAF327703 CKB327703 CTX327703 DDT327703 DNP327703 DXL327703 EHH327703 ERD327703 FAZ327703 FKV327703 FUR327703 GEN327703 GOJ327703 GYF327703 HIB327703 HRX327703 IBT327703 ILP327703 IVL327703 JFH327703 JPD327703 JYZ327703 KIV327703 KSR327703 LCN327703 LMJ327703 LWF327703 MGB327703 MPX327703 MZT327703 NJP327703 NTL327703 ODH327703 OND327703 OWZ327703 PGV327703 PQR327703 QAN327703 QKJ327703 QUF327703 REB327703 RNX327703 RXT327703 SHP327703 SRL327703 TBH327703 TLD327703 TUZ327703 UEV327703 UOR327703 UYN327703 VIJ327703 VSF327703 WCB327703 WLX327703 WVT327703 V851991 JH393239 TD393239 ACZ393239 AMV393239 AWR393239 BGN393239 BQJ393239 CAF393239 CKB393239 CTX393239 DDT393239 DNP393239 DXL393239 EHH393239 ERD393239 FAZ393239 FKV393239 FUR393239 GEN393239 GOJ393239 GYF393239 HIB393239 HRX393239 IBT393239 ILP393239 IVL393239 JFH393239 JPD393239 JYZ393239 KIV393239 KSR393239 LCN393239 LMJ393239 LWF393239 MGB393239 MPX393239 MZT393239 NJP393239 NTL393239 ODH393239 OND393239 OWZ393239 PGV393239 PQR393239 QAN393239 QKJ393239 QUF393239 REB393239 RNX393239 RXT393239 SHP393239 SRL393239 TBH393239 TLD393239 TUZ393239 UEV393239 UOR393239 UYN393239 VIJ393239 VSF393239 WCB393239 WLX393239 WVT393239 V589847 JH458775 TD458775 ACZ458775 AMV458775 AWR458775 BGN458775 BQJ458775 CAF458775 CKB458775 CTX458775 DDT458775 DNP458775 DXL458775 EHH458775 ERD458775 FAZ458775 FKV458775 FUR458775 GEN458775 GOJ458775 GYF458775 HIB458775 HRX458775 IBT458775 ILP458775 IVL458775 JFH458775 JPD458775 JYZ458775 KIV458775 KSR458775 LCN458775 LMJ458775 LWF458775 MGB458775 MPX458775 MZT458775 NJP458775 NTL458775 ODH458775 OND458775 OWZ458775 PGV458775 PQR458775 QAN458775 QKJ458775 QUF458775 REB458775 RNX458775 RXT458775 SHP458775 SRL458775 TBH458775 TLD458775 TUZ458775 UEV458775 UOR458775 UYN458775 VIJ458775 VSF458775 WCB458775 WLX458775 WVT458775 V655383 JH524311 TD524311 ACZ524311 AMV524311 AWR524311 BGN524311 BQJ524311 CAF524311 CKB524311 CTX524311 DDT524311 DNP524311 DXL524311 EHH524311 ERD524311 FAZ524311 FKV524311 FUR524311 GEN524311 GOJ524311 GYF524311 HIB524311 HRX524311 IBT524311 ILP524311 IVL524311 JFH524311 JPD524311 JYZ524311 KIV524311 KSR524311 LCN524311 LMJ524311 LWF524311 MGB524311 MPX524311 MZT524311 NJP524311 NTL524311 ODH524311 OND524311 OWZ524311 PGV524311 PQR524311 QAN524311 QKJ524311 QUF524311 REB524311 RNX524311 RXT524311 SHP524311 SRL524311 TBH524311 TLD524311 TUZ524311 UEV524311 UOR524311 UYN524311 VIJ524311 VSF524311 WCB524311 WLX524311 WVT524311 V720919 JH589847 TD589847 ACZ589847 AMV589847 AWR589847 BGN589847 BQJ589847 CAF589847 CKB589847 CTX589847 DDT589847 DNP589847 DXL589847 EHH589847 ERD589847 FAZ589847 FKV589847 FUR589847 GEN589847 GOJ589847 GYF589847 HIB589847 HRX589847 IBT589847 ILP589847 IVL589847 JFH589847 JPD589847 JYZ589847 KIV589847 KSR589847 LCN589847 LMJ589847 LWF589847 MGB589847 MPX589847 MZT589847 NJP589847 NTL589847 ODH589847 OND589847 OWZ589847 PGV589847 PQR589847 QAN589847 QKJ589847 QUF589847 REB589847 RNX589847 RXT589847 SHP589847 SRL589847 TBH589847 TLD589847 TUZ589847 UEV589847 UOR589847 UYN589847 VIJ589847 VSF589847 WCB589847 WLX589847 WVT589847 V786455 JH655383 TD655383 ACZ655383 AMV655383 AWR655383 BGN655383 BQJ655383 CAF655383 CKB655383 CTX655383 DDT655383 DNP655383 DXL655383 EHH655383 ERD655383 FAZ655383 FKV655383 FUR655383 GEN655383 GOJ655383 GYF655383 HIB655383 HRX655383 IBT655383 ILP655383 IVL655383 JFH655383 JPD655383 JYZ655383 KIV655383 KSR655383 LCN655383 LMJ655383 LWF655383 MGB655383 MPX655383 MZT655383 NJP655383 NTL655383 ODH655383 OND655383 OWZ655383 PGV655383 PQR655383 QAN655383 QKJ655383 QUF655383 REB655383 RNX655383 RXT655383 SHP655383 SRL655383 TBH655383 TLD655383 TUZ655383 UEV655383 UOR655383 UYN655383 VIJ655383 VSF655383 WCB655383 WLX655383 WVT655383 V917527 JH720919 TD720919 ACZ720919 AMV720919 AWR720919 BGN720919 BQJ720919 CAF720919 CKB720919 CTX720919 DDT720919 DNP720919 DXL720919 EHH720919 ERD720919 FAZ720919 FKV720919 FUR720919 GEN720919 GOJ720919 GYF720919 HIB720919 HRX720919 IBT720919 ILP720919 IVL720919 JFH720919 JPD720919 JYZ720919 KIV720919 KSR720919 LCN720919 LMJ720919 LWF720919 MGB720919 MPX720919 MZT720919 NJP720919 NTL720919 ODH720919 OND720919 OWZ720919 PGV720919 PQR720919 QAN720919 QKJ720919 QUF720919 REB720919 RNX720919 RXT720919 SHP720919 SRL720919 TBH720919 TLD720919 TUZ720919 UEV720919 UOR720919 UYN720919 VIJ720919 VSF720919 WCB720919 WLX720919 WVT720919 V23 JH786455 TD786455 ACZ786455 AMV786455 AWR786455 BGN786455 BQJ786455 CAF786455 CKB786455 CTX786455 DDT786455 DNP786455 DXL786455 EHH786455 ERD786455 FAZ786455 FKV786455 FUR786455 GEN786455 GOJ786455 GYF786455 HIB786455 HRX786455 IBT786455 ILP786455 IVL786455 JFH786455 JPD786455 JYZ786455 KIV786455 KSR786455 LCN786455 LMJ786455 LWF786455 MGB786455 MPX786455 MZT786455 NJP786455 NTL786455 ODH786455 OND786455 OWZ786455 PGV786455 PQR786455 QAN786455 QKJ786455 QUF786455 REB786455 RNX786455 RXT786455 SHP786455 SRL786455 TBH786455 TLD786455 TUZ786455 UEV786455 UOR786455 UYN786455 VIJ786455 VSF786455 WCB786455 WLX786455 WVT786455 V983063 JH851991 TD851991 ACZ851991 AMV851991 AWR851991 BGN851991 BQJ851991 CAF851991 CKB851991 CTX851991 DDT851991 DNP851991 DXL851991 EHH851991 ERD851991 FAZ851991 FKV851991 FUR851991 GEN851991 GOJ851991 GYF851991 HIB851991 HRX851991 IBT851991 ILP851991 IVL851991 JFH851991 JPD851991 JYZ851991 KIV851991 KSR851991 LCN851991 LMJ851991 LWF851991 MGB851991 MPX851991 MZT851991 NJP851991 NTL851991 ODH851991 OND851991 OWZ851991 PGV851991 PQR851991 QAN851991 QKJ851991 QUF851991 REB851991 RNX851991 RXT851991 SHP851991 SRL851991 TBH851991 TLD851991 TUZ851991 UEV851991 UOR851991 UYN851991 VIJ851991 VSF851991 WCB851991 WLX851991 WVT851991 JH917527 TD917527 ACZ917527 AMV917527 AWR917527 BGN917527 BQJ917527 CAF917527 CKB917527 CTX917527 DDT917527 DNP917527 DXL917527 EHH917527 ERD917527 FAZ917527 FKV917527 FUR917527 GEN917527 GOJ917527 GYF917527 HIB917527 HRX917527 IBT917527 ILP917527 IVL917527 JFH917527 JPD917527 JYZ917527 KIV917527 KSR917527 LCN917527 LMJ917527 LWF917527 MGB917527 MPX917527 MZT917527 NJP917527 NTL917527 ODH917527 OND917527 OWZ917527 PGV917527 PQR917527 QAN917527 QKJ917527 QUF917527 REB917527 RNX917527 RXT917527 SHP917527 SRL917527 TBH917527 TLD917527 TUZ917527 UEV917527 UOR917527 UYN917527 VIJ917527 VSF917527 WCB917527 WLX917527 WVT917527 WVT983063 JH983063 TD983063 ACZ983063 AMV983063 AWR983063 BGN983063 BQJ983063 CAF983063 CKB983063 CTX983063 DDT983063 DNP983063 DXL983063 EHH983063 ERD983063 FAZ983063 FKV983063 FUR983063 GEN983063 GOJ983063 GYF983063 HIB983063 HRX983063 IBT983063 ILP983063 IVL983063 JFH983063 JPD983063 JYZ983063 KIV983063 KSR983063 LCN983063 LMJ983063 LWF983063 MGB983063 MPX983063 MZT983063 NJP983063 NTL983063 ODH983063 OND983063 OWZ983063 PGV983063 PQR983063 QAN983063 QKJ983063 QUF983063 REB983063 RNX983063 RXT983063 SHP983063 SRL983063 TBH983063 TLD983063 TUZ983063 UEV983063 UOR983063 UYN983063 VIJ983063 VSF983063 WCB983063 WLX983063 TB23 V65559"/>
    <dataValidation allowBlank="1" promptTitle="checkPeriodRange" sqref="R24 JD24 SZ24 ACV24 AMR24 AWN24 BGJ24 BQF24 CAB24 CJX24 CTT24 DDP24 DNL24 DXH24 EHD24 EQZ24 FAV24 FKR24 FUN24 GEJ24 GOF24 GYB24 HHX24 HRT24 IBP24 ILL24 IVH24 JFD24 JOZ24 JYV24 KIR24 KSN24 LCJ24 LMF24 LWB24 MFX24 MPT24 MZP24 NJL24 NTH24 ODD24 OMZ24 OWV24 PGR24 PQN24 QAJ24 QKF24 QUB24 RDX24 RNT24 RXP24 SHL24 SRH24 TBD24 TKZ24 TUV24 UER24 UON24 UYJ24 VIF24 VSB24 WBX24 WLT24 WVP24 R65560 JD65560 SZ65560 ACV65560 AMR65560 AWN65560 BGJ65560 BQF65560 CAB65560 CJX65560 CTT65560 DDP65560 DNL65560 DXH65560 EHD65560 EQZ65560 FAV65560 FKR65560 FUN65560 GEJ65560 GOF65560 GYB65560 HHX65560 HRT65560 IBP65560 ILL65560 IVH65560 JFD65560 JOZ65560 JYV65560 KIR65560 KSN65560 LCJ65560 LMF65560 LWB65560 MFX65560 MPT65560 MZP65560 NJL65560 NTH65560 ODD65560 OMZ65560 OWV65560 PGR65560 PQN65560 QAJ65560 QKF65560 QUB65560 RDX65560 RNT65560 RXP65560 SHL65560 SRH65560 TBD65560 TKZ65560 TUV65560 UER65560 UON65560 UYJ65560 VIF65560 VSB65560 WBX65560 WLT65560 WVP65560 R131096 JD131096 SZ131096 ACV131096 AMR131096 AWN131096 BGJ131096 BQF131096 CAB131096 CJX131096 CTT131096 DDP131096 DNL131096 DXH131096 EHD131096 EQZ131096 FAV131096 FKR131096 FUN131096 GEJ131096 GOF131096 GYB131096 HHX131096 HRT131096 IBP131096 ILL131096 IVH131096 JFD131096 JOZ131096 JYV131096 KIR131096 KSN131096 LCJ131096 LMF131096 LWB131096 MFX131096 MPT131096 MZP131096 NJL131096 NTH131096 ODD131096 OMZ131096 OWV131096 PGR131096 PQN131096 QAJ131096 QKF131096 QUB131096 RDX131096 RNT131096 RXP131096 SHL131096 SRH131096 TBD131096 TKZ131096 TUV131096 UER131096 UON131096 UYJ131096 VIF131096 VSB131096 WBX131096 WLT131096 WVP131096 R196632 JD196632 SZ196632 ACV196632 AMR196632 AWN196632 BGJ196632 BQF196632 CAB196632 CJX196632 CTT196632 DDP196632 DNL196632 DXH196632 EHD196632 EQZ196632 FAV196632 FKR196632 FUN196632 GEJ196632 GOF196632 GYB196632 HHX196632 HRT196632 IBP196632 ILL196632 IVH196632 JFD196632 JOZ196632 JYV196632 KIR196632 KSN196632 LCJ196632 LMF196632 LWB196632 MFX196632 MPT196632 MZP196632 NJL196632 NTH196632 ODD196632 OMZ196632 OWV196632 PGR196632 PQN196632 QAJ196632 QKF196632 QUB196632 RDX196632 RNT196632 RXP196632 SHL196632 SRH196632 TBD196632 TKZ196632 TUV196632 UER196632 UON196632 UYJ196632 VIF196632 VSB196632 WBX196632 WLT196632 WVP196632 R262168 JD262168 SZ262168 ACV262168 AMR262168 AWN262168 BGJ262168 BQF262168 CAB262168 CJX262168 CTT262168 DDP262168 DNL262168 DXH262168 EHD262168 EQZ262168 FAV262168 FKR262168 FUN262168 GEJ262168 GOF262168 GYB262168 HHX262168 HRT262168 IBP262168 ILL262168 IVH262168 JFD262168 JOZ262168 JYV262168 KIR262168 KSN262168 LCJ262168 LMF262168 LWB262168 MFX262168 MPT262168 MZP262168 NJL262168 NTH262168 ODD262168 OMZ262168 OWV262168 PGR262168 PQN262168 QAJ262168 QKF262168 QUB262168 RDX262168 RNT262168 RXP262168 SHL262168 SRH262168 TBD262168 TKZ262168 TUV262168 UER262168 UON262168 UYJ262168 VIF262168 VSB262168 WBX262168 WLT262168 WVP262168 R327704 JD327704 SZ327704 ACV327704 AMR327704 AWN327704 BGJ327704 BQF327704 CAB327704 CJX327704 CTT327704 DDP327704 DNL327704 DXH327704 EHD327704 EQZ327704 FAV327704 FKR327704 FUN327704 GEJ327704 GOF327704 GYB327704 HHX327704 HRT327704 IBP327704 ILL327704 IVH327704 JFD327704 JOZ327704 JYV327704 KIR327704 KSN327704 LCJ327704 LMF327704 LWB327704 MFX327704 MPT327704 MZP327704 NJL327704 NTH327704 ODD327704 OMZ327704 OWV327704 PGR327704 PQN327704 QAJ327704 QKF327704 QUB327704 RDX327704 RNT327704 RXP327704 SHL327704 SRH327704 TBD327704 TKZ327704 TUV327704 UER327704 UON327704 UYJ327704 VIF327704 VSB327704 WBX327704 WLT327704 WVP327704 R393240 JD393240 SZ393240 ACV393240 AMR393240 AWN393240 BGJ393240 BQF393240 CAB393240 CJX393240 CTT393240 DDP393240 DNL393240 DXH393240 EHD393240 EQZ393240 FAV393240 FKR393240 FUN393240 GEJ393240 GOF393240 GYB393240 HHX393240 HRT393240 IBP393240 ILL393240 IVH393240 JFD393240 JOZ393240 JYV393240 KIR393240 KSN393240 LCJ393240 LMF393240 LWB393240 MFX393240 MPT393240 MZP393240 NJL393240 NTH393240 ODD393240 OMZ393240 OWV393240 PGR393240 PQN393240 QAJ393240 QKF393240 QUB393240 RDX393240 RNT393240 RXP393240 SHL393240 SRH393240 TBD393240 TKZ393240 TUV393240 UER393240 UON393240 UYJ393240 VIF393240 VSB393240 WBX393240 WLT393240 WVP393240 R458776 JD458776 SZ458776 ACV458776 AMR458776 AWN458776 BGJ458776 BQF458776 CAB458776 CJX458776 CTT458776 DDP458776 DNL458776 DXH458776 EHD458776 EQZ458776 FAV458776 FKR458776 FUN458776 GEJ458776 GOF458776 GYB458776 HHX458776 HRT458776 IBP458776 ILL458776 IVH458776 JFD458776 JOZ458776 JYV458776 KIR458776 KSN458776 LCJ458776 LMF458776 LWB458776 MFX458776 MPT458776 MZP458776 NJL458776 NTH458776 ODD458776 OMZ458776 OWV458776 PGR458776 PQN458776 QAJ458776 QKF458776 QUB458776 RDX458776 RNT458776 RXP458776 SHL458776 SRH458776 TBD458776 TKZ458776 TUV458776 UER458776 UON458776 UYJ458776 VIF458776 VSB458776 WBX458776 WLT458776 WVP458776 R524312 JD524312 SZ524312 ACV524312 AMR524312 AWN524312 BGJ524312 BQF524312 CAB524312 CJX524312 CTT524312 DDP524312 DNL524312 DXH524312 EHD524312 EQZ524312 FAV524312 FKR524312 FUN524312 GEJ524312 GOF524312 GYB524312 HHX524312 HRT524312 IBP524312 ILL524312 IVH524312 JFD524312 JOZ524312 JYV524312 KIR524312 KSN524312 LCJ524312 LMF524312 LWB524312 MFX524312 MPT524312 MZP524312 NJL524312 NTH524312 ODD524312 OMZ524312 OWV524312 PGR524312 PQN524312 QAJ524312 QKF524312 QUB524312 RDX524312 RNT524312 RXP524312 SHL524312 SRH524312 TBD524312 TKZ524312 TUV524312 UER524312 UON524312 UYJ524312 VIF524312 VSB524312 WBX524312 WLT524312 WVP524312 R589848 JD589848 SZ589848 ACV589848 AMR589848 AWN589848 BGJ589848 BQF589848 CAB589848 CJX589848 CTT589848 DDP589848 DNL589848 DXH589848 EHD589848 EQZ589848 FAV589848 FKR589848 FUN589848 GEJ589848 GOF589848 GYB589848 HHX589848 HRT589848 IBP589848 ILL589848 IVH589848 JFD589848 JOZ589848 JYV589848 KIR589848 KSN589848 LCJ589848 LMF589848 LWB589848 MFX589848 MPT589848 MZP589848 NJL589848 NTH589848 ODD589848 OMZ589848 OWV589848 PGR589848 PQN589848 QAJ589848 QKF589848 QUB589848 RDX589848 RNT589848 RXP589848 SHL589848 SRH589848 TBD589848 TKZ589848 TUV589848 UER589848 UON589848 UYJ589848 VIF589848 VSB589848 WBX589848 WLT589848 WVP589848 R655384 JD655384 SZ655384 ACV655384 AMR655384 AWN655384 BGJ655384 BQF655384 CAB655384 CJX655384 CTT655384 DDP655384 DNL655384 DXH655384 EHD655384 EQZ655384 FAV655384 FKR655384 FUN655384 GEJ655384 GOF655384 GYB655384 HHX655384 HRT655384 IBP655384 ILL655384 IVH655384 JFD655384 JOZ655384 JYV655384 KIR655384 KSN655384 LCJ655384 LMF655384 LWB655384 MFX655384 MPT655384 MZP655384 NJL655384 NTH655384 ODD655384 OMZ655384 OWV655384 PGR655384 PQN655384 QAJ655384 QKF655384 QUB655384 RDX655384 RNT655384 RXP655384 SHL655384 SRH655384 TBD655384 TKZ655384 TUV655384 UER655384 UON655384 UYJ655384 VIF655384 VSB655384 WBX655384 WLT655384 WVP655384 R720920 JD720920 SZ720920 ACV720920 AMR720920 AWN720920 BGJ720920 BQF720920 CAB720920 CJX720920 CTT720920 DDP720920 DNL720920 DXH720920 EHD720920 EQZ720920 FAV720920 FKR720920 FUN720920 GEJ720920 GOF720920 GYB720920 HHX720920 HRT720920 IBP720920 ILL720920 IVH720920 JFD720920 JOZ720920 JYV720920 KIR720920 KSN720920 LCJ720920 LMF720920 LWB720920 MFX720920 MPT720920 MZP720920 NJL720920 NTH720920 ODD720920 OMZ720920 OWV720920 PGR720920 PQN720920 QAJ720920 QKF720920 QUB720920 RDX720920 RNT720920 RXP720920 SHL720920 SRH720920 TBD720920 TKZ720920 TUV720920 UER720920 UON720920 UYJ720920 VIF720920 VSB720920 WBX720920 WLT720920 WVP720920 R786456 JD786456 SZ786456 ACV786456 AMR786456 AWN786456 BGJ786456 BQF786456 CAB786456 CJX786456 CTT786456 DDP786456 DNL786456 DXH786456 EHD786456 EQZ786456 FAV786456 FKR786456 FUN786456 GEJ786456 GOF786456 GYB786456 HHX786456 HRT786456 IBP786456 ILL786456 IVH786456 JFD786456 JOZ786456 JYV786456 KIR786456 KSN786456 LCJ786456 LMF786456 LWB786456 MFX786456 MPT786456 MZP786456 NJL786456 NTH786456 ODD786456 OMZ786456 OWV786456 PGR786456 PQN786456 QAJ786456 QKF786456 QUB786456 RDX786456 RNT786456 RXP786456 SHL786456 SRH786456 TBD786456 TKZ786456 TUV786456 UER786456 UON786456 UYJ786456 VIF786456 VSB786456 WBX786456 WLT786456 WVP786456 R851992 JD851992 SZ851992 ACV851992 AMR851992 AWN851992 BGJ851992 BQF851992 CAB851992 CJX851992 CTT851992 DDP851992 DNL851992 DXH851992 EHD851992 EQZ851992 FAV851992 FKR851992 FUN851992 GEJ851992 GOF851992 GYB851992 HHX851992 HRT851992 IBP851992 ILL851992 IVH851992 JFD851992 JOZ851992 JYV851992 KIR851992 KSN851992 LCJ851992 LMF851992 LWB851992 MFX851992 MPT851992 MZP851992 NJL851992 NTH851992 ODD851992 OMZ851992 OWV851992 PGR851992 PQN851992 QAJ851992 QKF851992 QUB851992 RDX851992 RNT851992 RXP851992 SHL851992 SRH851992 TBD851992 TKZ851992 TUV851992 UER851992 UON851992 UYJ851992 VIF851992 VSB851992 WBX851992 WLT851992 WVP851992 R917528 JD917528 SZ917528 ACV917528 AMR917528 AWN917528 BGJ917528 BQF917528 CAB917528 CJX917528 CTT917528 DDP917528 DNL917528 DXH917528 EHD917528 EQZ917528 FAV917528 FKR917528 FUN917528 GEJ917528 GOF917528 GYB917528 HHX917528 HRT917528 IBP917528 ILL917528 IVH917528 JFD917528 JOZ917528 JYV917528 KIR917528 KSN917528 LCJ917528 LMF917528 LWB917528 MFX917528 MPT917528 MZP917528 NJL917528 NTH917528 ODD917528 OMZ917528 OWV917528 PGR917528 PQN917528 QAJ917528 QKF917528 QUB917528 RDX917528 RNT917528 RXP917528 SHL917528 SRH917528 TBD917528 TKZ917528 TUV917528 UER917528 UON917528 UYJ917528 VIF917528 VSB917528 WBX917528 WLT917528 WVP917528 R983064 JD983064 SZ983064 ACV983064 AMR983064 AWN983064 BGJ983064 BQF983064 CAB983064 CJX983064 CTT983064 DDP983064 DNL983064 DXH983064 EHD983064 EQZ983064 FAV983064 FKR983064 FUN983064 GEJ983064 GOF983064 GYB983064 HHX983064 HRT983064 IBP983064 ILL983064 IVH983064 JFD983064 JOZ983064 JYV983064 KIR983064 KSN983064 LCJ983064 LMF983064 LWB983064 MFX983064 MPT983064 MZP983064 NJL983064 NTH983064 ODD983064 OMZ983064 OWV983064 PGR983064 PQN983064 QAJ983064 QKF983064 QUB983064 RDX983064 RNT983064 RXP983064 SHL983064 SRH983064 TBD983064 TKZ983064 TUV983064 UER983064 UON983064 UYJ983064 VIF983064 VSB983064 WBX983064 WLT983064 WVP983064"/>
    <dataValidation type="textLength" operator="lessThanOrEqual" allowBlank="1" showInputMessage="1" showErrorMessage="1" errorTitle="Ошибка" error="Допускается ввод не более 900 символов!" sqref="ACS23 AMO23 AWK23 BGG23 BQC23 BZY23 CJU23 CTQ23 DDM23 DNI23 DXE23 EHA23 EQW23 FAS23 FKO23 FUK23 GEG23 GOC23 GXY23 HHU23 HRQ23 IBM23 ILI23 IVE23 JFA23 JOW23 JYS23 KIO23 KSK23 LCG23 LMC23 LVY23 MFU23 MPQ23 MZM23 NJI23 NTE23 ODA23 OMW23 OWS23 PGO23 PQK23 QAG23 QKC23 QTY23 RDU23 RNQ23 RXM23 SHI23 SRE23 TBA23 TKW23 TUS23 UEO23 UOK23 UYG23 VIC23 VRY23 WBU23 WLQ23 WVM23 O23 O65559 JA65559 SW65559 ACS65559 AMO65559 AWK65559 BGG65559 BQC65559 BZY65559 CJU65559 CTQ65559 DDM65559 DNI65559 DXE65559 EHA65559 EQW65559 FAS65559 FKO65559 FUK65559 GEG65559 GOC65559 GXY65559 HHU65559 HRQ65559 IBM65559 ILI65559 IVE65559 JFA65559 JOW65559 JYS65559 KIO65559 KSK65559 LCG65559 LMC65559 LVY65559 MFU65559 MPQ65559 MZM65559 NJI65559 NTE65559 ODA65559 OMW65559 OWS65559 PGO65559 PQK65559 QAG65559 QKC65559 QTY65559 RDU65559 RNQ65559 RXM65559 SHI65559 SRE65559 TBA65559 TKW65559 TUS65559 UEO65559 UOK65559 UYG65559 VIC65559 VRY65559 WBU65559 WLQ65559 WVM65559 O131095 JA131095 SW131095 ACS131095 AMO131095 AWK131095 BGG131095 BQC131095 BZY131095 CJU131095 CTQ131095 DDM131095 DNI131095 DXE131095 EHA131095 EQW131095 FAS131095 FKO131095 FUK131095 GEG131095 GOC131095 GXY131095 HHU131095 HRQ131095 IBM131095 ILI131095 IVE131095 JFA131095 JOW131095 JYS131095 KIO131095 KSK131095 LCG131095 LMC131095 LVY131095 MFU131095 MPQ131095 MZM131095 NJI131095 NTE131095 ODA131095 OMW131095 OWS131095 PGO131095 PQK131095 QAG131095 QKC131095 QTY131095 RDU131095 RNQ131095 RXM131095 SHI131095 SRE131095 TBA131095 TKW131095 TUS131095 UEO131095 UOK131095 UYG131095 VIC131095 VRY131095 WBU131095 WLQ131095 WVM131095 O196631 JA196631 SW196631 ACS196631 AMO196631 AWK196631 BGG196631 BQC196631 BZY196631 CJU196631 CTQ196631 DDM196631 DNI196631 DXE196631 EHA196631 EQW196631 FAS196631 FKO196631 FUK196631 GEG196631 GOC196631 GXY196631 HHU196631 HRQ196631 IBM196631 ILI196631 IVE196631 JFA196631 JOW196631 JYS196631 KIO196631 KSK196631 LCG196631 LMC196631 LVY196631 MFU196631 MPQ196631 MZM196631 NJI196631 NTE196631 ODA196631 OMW196631 OWS196631 PGO196631 PQK196631 QAG196631 QKC196631 QTY196631 RDU196631 RNQ196631 RXM196631 SHI196631 SRE196631 TBA196631 TKW196631 TUS196631 UEO196631 UOK196631 UYG196631 VIC196631 VRY196631 WBU196631 WLQ196631 WVM196631 O262167 JA262167 SW262167 ACS262167 AMO262167 AWK262167 BGG262167 BQC262167 BZY262167 CJU262167 CTQ262167 DDM262167 DNI262167 DXE262167 EHA262167 EQW262167 FAS262167 FKO262167 FUK262167 GEG262167 GOC262167 GXY262167 HHU262167 HRQ262167 IBM262167 ILI262167 IVE262167 JFA262167 JOW262167 JYS262167 KIO262167 KSK262167 LCG262167 LMC262167 LVY262167 MFU262167 MPQ262167 MZM262167 NJI262167 NTE262167 ODA262167 OMW262167 OWS262167 PGO262167 PQK262167 QAG262167 QKC262167 QTY262167 RDU262167 RNQ262167 RXM262167 SHI262167 SRE262167 TBA262167 TKW262167 TUS262167 UEO262167 UOK262167 UYG262167 VIC262167 VRY262167 WBU262167 WLQ262167 WVM262167 O327703 JA327703 SW327703 ACS327703 AMO327703 AWK327703 BGG327703 BQC327703 BZY327703 CJU327703 CTQ327703 DDM327703 DNI327703 DXE327703 EHA327703 EQW327703 FAS327703 FKO327703 FUK327703 GEG327703 GOC327703 GXY327703 HHU327703 HRQ327703 IBM327703 ILI327703 IVE327703 JFA327703 JOW327703 JYS327703 KIO327703 KSK327703 LCG327703 LMC327703 LVY327703 MFU327703 MPQ327703 MZM327703 NJI327703 NTE327703 ODA327703 OMW327703 OWS327703 PGO327703 PQK327703 QAG327703 QKC327703 QTY327703 RDU327703 RNQ327703 RXM327703 SHI327703 SRE327703 TBA327703 TKW327703 TUS327703 UEO327703 UOK327703 UYG327703 VIC327703 VRY327703 WBU327703 WLQ327703 WVM327703 O393239 JA393239 SW393239 ACS393239 AMO393239 AWK393239 BGG393239 BQC393239 BZY393239 CJU393239 CTQ393239 DDM393239 DNI393239 DXE393239 EHA393239 EQW393239 FAS393239 FKO393239 FUK393239 GEG393239 GOC393239 GXY393239 HHU393239 HRQ393239 IBM393239 ILI393239 IVE393239 JFA393239 JOW393239 JYS393239 KIO393239 KSK393239 LCG393239 LMC393239 LVY393239 MFU393239 MPQ393239 MZM393239 NJI393239 NTE393239 ODA393239 OMW393239 OWS393239 PGO393239 PQK393239 QAG393239 QKC393239 QTY393239 RDU393239 RNQ393239 RXM393239 SHI393239 SRE393239 TBA393239 TKW393239 TUS393239 UEO393239 UOK393239 UYG393239 VIC393239 VRY393239 WBU393239 WLQ393239 WVM393239 O458775 JA458775 SW458775 ACS458775 AMO458775 AWK458775 BGG458775 BQC458775 BZY458775 CJU458775 CTQ458775 DDM458775 DNI458775 DXE458775 EHA458775 EQW458775 FAS458775 FKO458775 FUK458775 GEG458775 GOC458775 GXY458775 HHU458775 HRQ458775 IBM458775 ILI458775 IVE458775 JFA458775 JOW458775 JYS458775 KIO458775 KSK458775 LCG458775 LMC458775 LVY458775 MFU458775 MPQ458775 MZM458775 NJI458775 NTE458775 ODA458775 OMW458775 OWS458775 PGO458775 PQK458775 QAG458775 QKC458775 QTY458775 RDU458775 RNQ458775 RXM458775 SHI458775 SRE458775 TBA458775 TKW458775 TUS458775 UEO458775 UOK458775 UYG458775 VIC458775 VRY458775 WBU458775 WLQ458775 WVM458775 O524311 JA524311 SW524311 ACS524311 AMO524311 AWK524311 BGG524311 BQC524311 BZY524311 CJU524311 CTQ524311 DDM524311 DNI524311 DXE524311 EHA524311 EQW524311 FAS524311 FKO524311 FUK524311 GEG524311 GOC524311 GXY524311 HHU524311 HRQ524311 IBM524311 ILI524311 IVE524311 JFA524311 JOW524311 JYS524311 KIO524311 KSK524311 LCG524311 LMC524311 LVY524311 MFU524311 MPQ524311 MZM524311 NJI524311 NTE524311 ODA524311 OMW524311 OWS524311 PGO524311 PQK524311 QAG524311 QKC524311 QTY524311 RDU524311 RNQ524311 RXM524311 SHI524311 SRE524311 TBA524311 TKW524311 TUS524311 UEO524311 UOK524311 UYG524311 VIC524311 VRY524311 WBU524311 WLQ524311 WVM524311 O589847 JA589847 SW589847 ACS589847 AMO589847 AWK589847 BGG589847 BQC589847 BZY589847 CJU589847 CTQ589847 DDM589847 DNI589847 DXE589847 EHA589847 EQW589847 FAS589847 FKO589847 FUK589847 GEG589847 GOC589847 GXY589847 HHU589847 HRQ589847 IBM589847 ILI589847 IVE589847 JFA589847 JOW589847 JYS589847 KIO589847 KSK589847 LCG589847 LMC589847 LVY589847 MFU589847 MPQ589847 MZM589847 NJI589847 NTE589847 ODA589847 OMW589847 OWS589847 PGO589847 PQK589847 QAG589847 QKC589847 QTY589847 RDU589847 RNQ589847 RXM589847 SHI589847 SRE589847 TBA589847 TKW589847 TUS589847 UEO589847 UOK589847 UYG589847 VIC589847 VRY589847 WBU589847 WLQ589847 WVM589847 O655383 JA655383 SW655383 ACS655383 AMO655383 AWK655383 BGG655383 BQC655383 BZY655383 CJU655383 CTQ655383 DDM655383 DNI655383 DXE655383 EHA655383 EQW655383 FAS655383 FKO655383 FUK655383 GEG655383 GOC655383 GXY655383 HHU655383 HRQ655383 IBM655383 ILI655383 IVE655383 JFA655383 JOW655383 JYS655383 KIO655383 KSK655383 LCG655383 LMC655383 LVY655383 MFU655383 MPQ655383 MZM655383 NJI655383 NTE655383 ODA655383 OMW655383 OWS655383 PGO655383 PQK655383 QAG655383 QKC655383 QTY655383 RDU655383 RNQ655383 RXM655383 SHI655383 SRE655383 TBA655383 TKW655383 TUS655383 UEO655383 UOK655383 UYG655383 VIC655383 VRY655383 WBU655383 WLQ655383 WVM655383 O720919 JA720919 SW720919 ACS720919 AMO720919 AWK720919 BGG720919 BQC720919 BZY720919 CJU720919 CTQ720919 DDM720919 DNI720919 DXE720919 EHA720919 EQW720919 FAS720919 FKO720919 FUK720919 GEG720919 GOC720919 GXY720919 HHU720919 HRQ720919 IBM720919 ILI720919 IVE720919 JFA720919 JOW720919 JYS720919 KIO720919 KSK720919 LCG720919 LMC720919 LVY720919 MFU720919 MPQ720919 MZM720919 NJI720919 NTE720919 ODA720919 OMW720919 OWS720919 PGO720919 PQK720919 QAG720919 QKC720919 QTY720919 RDU720919 RNQ720919 RXM720919 SHI720919 SRE720919 TBA720919 TKW720919 TUS720919 UEO720919 UOK720919 UYG720919 VIC720919 VRY720919 WBU720919 WLQ720919 WVM720919 O786455 JA786455 SW786455 ACS786455 AMO786455 AWK786455 BGG786455 BQC786455 BZY786455 CJU786455 CTQ786455 DDM786455 DNI786455 DXE786455 EHA786455 EQW786455 FAS786455 FKO786455 FUK786455 GEG786455 GOC786455 GXY786455 HHU786455 HRQ786455 IBM786455 ILI786455 IVE786455 JFA786455 JOW786455 JYS786455 KIO786455 KSK786455 LCG786455 LMC786455 LVY786455 MFU786455 MPQ786455 MZM786455 NJI786455 NTE786455 ODA786455 OMW786455 OWS786455 PGO786455 PQK786455 QAG786455 QKC786455 QTY786455 RDU786455 RNQ786455 RXM786455 SHI786455 SRE786455 TBA786455 TKW786455 TUS786455 UEO786455 UOK786455 UYG786455 VIC786455 VRY786455 WBU786455 WLQ786455 WVM786455 O851991 JA851991 SW851991 ACS851991 AMO851991 AWK851991 BGG851991 BQC851991 BZY851991 CJU851991 CTQ851991 DDM851991 DNI851991 DXE851991 EHA851991 EQW851991 FAS851991 FKO851991 FUK851991 GEG851991 GOC851991 GXY851991 HHU851991 HRQ851991 IBM851991 ILI851991 IVE851991 JFA851991 JOW851991 JYS851991 KIO851991 KSK851991 LCG851991 LMC851991 LVY851991 MFU851991 MPQ851991 MZM851991 NJI851991 NTE851991 ODA851991 OMW851991 OWS851991 PGO851991 PQK851991 QAG851991 QKC851991 QTY851991 RDU851991 RNQ851991 RXM851991 SHI851991 SRE851991 TBA851991 TKW851991 TUS851991 UEO851991 UOK851991 UYG851991 VIC851991 VRY851991 WBU851991 WLQ851991 WVM851991 O917527 JA917527 SW917527 ACS917527 AMO917527 AWK917527 BGG917527 BQC917527 BZY917527 CJU917527 CTQ917527 DDM917527 DNI917527 DXE917527 EHA917527 EQW917527 FAS917527 FKO917527 FUK917527 GEG917527 GOC917527 GXY917527 HHU917527 HRQ917527 IBM917527 ILI917527 IVE917527 JFA917527 JOW917527 JYS917527 KIO917527 KSK917527 LCG917527 LMC917527 LVY917527 MFU917527 MPQ917527 MZM917527 NJI917527 NTE917527 ODA917527 OMW917527 OWS917527 PGO917527 PQK917527 QAG917527 QKC917527 QTY917527 RDU917527 RNQ917527 RXM917527 SHI917527 SRE917527 TBA917527 TKW917527 TUS917527 UEO917527 UOK917527 UYG917527 VIC917527 VRY917527 WBU917527 WLQ917527 WVM917527 O983063 JA983063 SW983063 ACS983063 AMO983063 AWK983063 BGG983063 BQC983063 BZY983063 CJU983063 CTQ983063 DDM983063 DNI983063 DXE983063 EHA983063 EQW983063 FAS983063 FKO983063 FUK983063 GEG983063 GOC983063 GXY983063 HHU983063 HRQ983063 IBM983063 ILI983063 IVE983063 JFA983063 JOW983063 JYS983063 KIO983063 KSK983063 LCG983063 LMC983063 LVY983063 MFU983063 MPQ983063 MZM983063 NJI983063 NTE983063 ODA983063 OMW983063 OWS983063 PGO983063 PQK983063 QAG983063 QKC983063 QTY983063 RDU983063 RNQ983063 RXM983063 SHI983063 SRE983063 TBA983063 TKW983063 TUS983063 UEO983063 UOK983063 UYG983063 VIC983063 VRY983063 WBU983063 WLQ983063 WVM983063 WVV983059:WVV983064 JA23 X65555:X65560 JJ65555:JJ65560 TF65555:TF65560 ADB65555:ADB65560 AMX65555:AMX65560 AWT65555:AWT65560 BGP65555:BGP65560 BQL65555:BQL65560 CAH65555:CAH65560 CKD65555:CKD65560 CTZ65555:CTZ65560 DDV65555:DDV65560 DNR65555:DNR65560 DXN65555:DXN65560 EHJ65555:EHJ65560 ERF65555:ERF65560 FBB65555:FBB65560 FKX65555:FKX65560 FUT65555:FUT65560 GEP65555:GEP65560 GOL65555:GOL65560 GYH65555:GYH65560 HID65555:HID65560 HRZ65555:HRZ65560 IBV65555:IBV65560 ILR65555:ILR65560 IVN65555:IVN65560 JFJ65555:JFJ65560 JPF65555:JPF65560 JZB65555:JZB65560 KIX65555:KIX65560 KST65555:KST65560 LCP65555:LCP65560 LML65555:LML65560 LWH65555:LWH65560 MGD65555:MGD65560 MPZ65555:MPZ65560 MZV65555:MZV65560 NJR65555:NJR65560 NTN65555:NTN65560 ODJ65555:ODJ65560 ONF65555:ONF65560 OXB65555:OXB65560 PGX65555:PGX65560 PQT65555:PQT65560 QAP65555:QAP65560 QKL65555:QKL65560 QUH65555:QUH65560 RED65555:RED65560 RNZ65555:RNZ65560 RXV65555:RXV65560 SHR65555:SHR65560 SRN65555:SRN65560 TBJ65555:TBJ65560 TLF65555:TLF65560 TVB65555:TVB65560 UEX65555:UEX65560 UOT65555:UOT65560 UYP65555:UYP65560 VIL65555:VIL65560 VSH65555:VSH65560 WCD65555:WCD65560 WLZ65555:WLZ65560 WVV65555:WVV65560 X131091:X131096 JJ131091:JJ131096 TF131091:TF131096 ADB131091:ADB131096 AMX131091:AMX131096 AWT131091:AWT131096 BGP131091:BGP131096 BQL131091:BQL131096 CAH131091:CAH131096 CKD131091:CKD131096 CTZ131091:CTZ131096 DDV131091:DDV131096 DNR131091:DNR131096 DXN131091:DXN131096 EHJ131091:EHJ131096 ERF131091:ERF131096 FBB131091:FBB131096 FKX131091:FKX131096 FUT131091:FUT131096 GEP131091:GEP131096 GOL131091:GOL131096 GYH131091:GYH131096 HID131091:HID131096 HRZ131091:HRZ131096 IBV131091:IBV131096 ILR131091:ILR131096 IVN131091:IVN131096 JFJ131091:JFJ131096 JPF131091:JPF131096 JZB131091:JZB131096 KIX131091:KIX131096 KST131091:KST131096 LCP131091:LCP131096 LML131091:LML131096 LWH131091:LWH131096 MGD131091:MGD131096 MPZ131091:MPZ131096 MZV131091:MZV131096 NJR131091:NJR131096 NTN131091:NTN131096 ODJ131091:ODJ131096 ONF131091:ONF131096 OXB131091:OXB131096 PGX131091:PGX131096 PQT131091:PQT131096 QAP131091:QAP131096 QKL131091:QKL131096 QUH131091:QUH131096 RED131091:RED131096 RNZ131091:RNZ131096 RXV131091:RXV131096 SHR131091:SHR131096 SRN131091:SRN131096 TBJ131091:TBJ131096 TLF131091:TLF131096 TVB131091:TVB131096 UEX131091:UEX131096 UOT131091:UOT131096 UYP131091:UYP131096 VIL131091:VIL131096 VSH131091:VSH131096 WCD131091:WCD131096 WLZ131091:WLZ131096 WVV131091:WVV131096 X196627:X196632 JJ196627:JJ196632 TF196627:TF196632 ADB196627:ADB196632 AMX196627:AMX196632 AWT196627:AWT196632 BGP196627:BGP196632 BQL196627:BQL196632 CAH196627:CAH196632 CKD196627:CKD196632 CTZ196627:CTZ196632 DDV196627:DDV196632 DNR196627:DNR196632 DXN196627:DXN196632 EHJ196627:EHJ196632 ERF196627:ERF196632 FBB196627:FBB196632 FKX196627:FKX196632 FUT196627:FUT196632 GEP196627:GEP196632 GOL196627:GOL196632 GYH196627:GYH196632 HID196627:HID196632 HRZ196627:HRZ196632 IBV196627:IBV196632 ILR196627:ILR196632 IVN196627:IVN196632 JFJ196627:JFJ196632 JPF196627:JPF196632 JZB196627:JZB196632 KIX196627:KIX196632 KST196627:KST196632 LCP196627:LCP196632 LML196627:LML196632 LWH196627:LWH196632 MGD196627:MGD196632 MPZ196627:MPZ196632 MZV196627:MZV196632 NJR196627:NJR196632 NTN196627:NTN196632 ODJ196627:ODJ196632 ONF196627:ONF196632 OXB196627:OXB196632 PGX196627:PGX196632 PQT196627:PQT196632 QAP196627:QAP196632 QKL196627:QKL196632 QUH196627:QUH196632 RED196627:RED196632 RNZ196627:RNZ196632 RXV196627:RXV196632 SHR196627:SHR196632 SRN196627:SRN196632 TBJ196627:TBJ196632 TLF196627:TLF196632 TVB196627:TVB196632 UEX196627:UEX196632 UOT196627:UOT196632 UYP196627:UYP196632 VIL196627:VIL196632 VSH196627:VSH196632 WCD196627:WCD196632 WLZ196627:WLZ196632 WVV196627:WVV196632 X262163:X262168 JJ262163:JJ262168 TF262163:TF262168 ADB262163:ADB262168 AMX262163:AMX262168 AWT262163:AWT262168 BGP262163:BGP262168 BQL262163:BQL262168 CAH262163:CAH262168 CKD262163:CKD262168 CTZ262163:CTZ262168 DDV262163:DDV262168 DNR262163:DNR262168 DXN262163:DXN262168 EHJ262163:EHJ262168 ERF262163:ERF262168 FBB262163:FBB262168 FKX262163:FKX262168 FUT262163:FUT262168 GEP262163:GEP262168 GOL262163:GOL262168 GYH262163:GYH262168 HID262163:HID262168 HRZ262163:HRZ262168 IBV262163:IBV262168 ILR262163:ILR262168 IVN262163:IVN262168 JFJ262163:JFJ262168 JPF262163:JPF262168 JZB262163:JZB262168 KIX262163:KIX262168 KST262163:KST262168 LCP262163:LCP262168 LML262163:LML262168 LWH262163:LWH262168 MGD262163:MGD262168 MPZ262163:MPZ262168 MZV262163:MZV262168 NJR262163:NJR262168 NTN262163:NTN262168 ODJ262163:ODJ262168 ONF262163:ONF262168 OXB262163:OXB262168 PGX262163:PGX262168 PQT262163:PQT262168 QAP262163:QAP262168 QKL262163:QKL262168 QUH262163:QUH262168 RED262163:RED262168 RNZ262163:RNZ262168 RXV262163:RXV262168 SHR262163:SHR262168 SRN262163:SRN262168 TBJ262163:TBJ262168 TLF262163:TLF262168 TVB262163:TVB262168 UEX262163:UEX262168 UOT262163:UOT262168 UYP262163:UYP262168 VIL262163:VIL262168 VSH262163:VSH262168 WCD262163:WCD262168 WLZ262163:WLZ262168 WVV262163:WVV262168 X327699:X327704 JJ327699:JJ327704 TF327699:TF327704 ADB327699:ADB327704 AMX327699:AMX327704 AWT327699:AWT327704 BGP327699:BGP327704 BQL327699:BQL327704 CAH327699:CAH327704 CKD327699:CKD327704 CTZ327699:CTZ327704 DDV327699:DDV327704 DNR327699:DNR327704 DXN327699:DXN327704 EHJ327699:EHJ327704 ERF327699:ERF327704 FBB327699:FBB327704 FKX327699:FKX327704 FUT327699:FUT327704 GEP327699:GEP327704 GOL327699:GOL327704 GYH327699:GYH327704 HID327699:HID327704 HRZ327699:HRZ327704 IBV327699:IBV327704 ILR327699:ILR327704 IVN327699:IVN327704 JFJ327699:JFJ327704 JPF327699:JPF327704 JZB327699:JZB327704 KIX327699:KIX327704 KST327699:KST327704 LCP327699:LCP327704 LML327699:LML327704 LWH327699:LWH327704 MGD327699:MGD327704 MPZ327699:MPZ327704 MZV327699:MZV327704 NJR327699:NJR327704 NTN327699:NTN327704 ODJ327699:ODJ327704 ONF327699:ONF327704 OXB327699:OXB327704 PGX327699:PGX327704 PQT327699:PQT327704 QAP327699:QAP327704 QKL327699:QKL327704 QUH327699:QUH327704 RED327699:RED327704 RNZ327699:RNZ327704 RXV327699:RXV327704 SHR327699:SHR327704 SRN327699:SRN327704 TBJ327699:TBJ327704 TLF327699:TLF327704 TVB327699:TVB327704 UEX327699:UEX327704 UOT327699:UOT327704 UYP327699:UYP327704 VIL327699:VIL327704 VSH327699:VSH327704 WCD327699:WCD327704 WLZ327699:WLZ327704 WVV327699:WVV327704 X393235:X393240 JJ393235:JJ393240 TF393235:TF393240 ADB393235:ADB393240 AMX393235:AMX393240 AWT393235:AWT393240 BGP393235:BGP393240 BQL393235:BQL393240 CAH393235:CAH393240 CKD393235:CKD393240 CTZ393235:CTZ393240 DDV393235:DDV393240 DNR393235:DNR393240 DXN393235:DXN393240 EHJ393235:EHJ393240 ERF393235:ERF393240 FBB393235:FBB393240 FKX393235:FKX393240 FUT393235:FUT393240 GEP393235:GEP393240 GOL393235:GOL393240 GYH393235:GYH393240 HID393235:HID393240 HRZ393235:HRZ393240 IBV393235:IBV393240 ILR393235:ILR393240 IVN393235:IVN393240 JFJ393235:JFJ393240 JPF393235:JPF393240 JZB393235:JZB393240 KIX393235:KIX393240 KST393235:KST393240 LCP393235:LCP393240 LML393235:LML393240 LWH393235:LWH393240 MGD393235:MGD393240 MPZ393235:MPZ393240 MZV393235:MZV393240 NJR393235:NJR393240 NTN393235:NTN393240 ODJ393235:ODJ393240 ONF393235:ONF393240 OXB393235:OXB393240 PGX393235:PGX393240 PQT393235:PQT393240 QAP393235:QAP393240 QKL393235:QKL393240 QUH393235:QUH393240 RED393235:RED393240 RNZ393235:RNZ393240 RXV393235:RXV393240 SHR393235:SHR393240 SRN393235:SRN393240 TBJ393235:TBJ393240 TLF393235:TLF393240 TVB393235:TVB393240 UEX393235:UEX393240 UOT393235:UOT393240 UYP393235:UYP393240 VIL393235:VIL393240 VSH393235:VSH393240 WCD393235:WCD393240 WLZ393235:WLZ393240 WVV393235:WVV393240 X458771:X458776 JJ458771:JJ458776 TF458771:TF458776 ADB458771:ADB458776 AMX458771:AMX458776 AWT458771:AWT458776 BGP458771:BGP458776 BQL458771:BQL458776 CAH458771:CAH458776 CKD458771:CKD458776 CTZ458771:CTZ458776 DDV458771:DDV458776 DNR458771:DNR458776 DXN458771:DXN458776 EHJ458771:EHJ458776 ERF458771:ERF458776 FBB458771:FBB458776 FKX458771:FKX458776 FUT458771:FUT458776 GEP458771:GEP458776 GOL458771:GOL458776 GYH458771:GYH458776 HID458771:HID458776 HRZ458771:HRZ458776 IBV458771:IBV458776 ILR458771:ILR458776 IVN458771:IVN458776 JFJ458771:JFJ458776 JPF458771:JPF458776 JZB458771:JZB458776 KIX458771:KIX458776 KST458771:KST458776 LCP458771:LCP458776 LML458771:LML458776 LWH458771:LWH458776 MGD458771:MGD458776 MPZ458771:MPZ458776 MZV458771:MZV458776 NJR458771:NJR458776 NTN458771:NTN458776 ODJ458771:ODJ458776 ONF458771:ONF458776 OXB458771:OXB458776 PGX458771:PGX458776 PQT458771:PQT458776 QAP458771:QAP458776 QKL458771:QKL458776 QUH458771:QUH458776 RED458771:RED458776 RNZ458771:RNZ458776 RXV458771:RXV458776 SHR458771:SHR458776 SRN458771:SRN458776 TBJ458771:TBJ458776 TLF458771:TLF458776 TVB458771:TVB458776 UEX458771:UEX458776 UOT458771:UOT458776 UYP458771:UYP458776 VIL458771:VIL458776 VSH458771:VSH458776 WCD458771:WCD458776 WLZ458771:WLZ458776 WVV458771:WVV458776 X524307:X524312 JJ524307:JJ524312 TF524307:TF524312 ADB524307:ADB524312 AMX524307:AMX524312 AWT524307:AWT524312 BGP524307:BGP524312 BQL524307:BQL524312 CAH524307:CAH524312 CKD524307:CKD524312 CTZ524307:CTZ524312 DDV524307:DDV524312 DNR524307:DNR524312 DXN524307:DXN524312 EHJ524307:EHJ524312 ERF524307:ERF524312 FBB524307:FBB524312 FKX524307:FKX524312 FUT524307:FUT524312 GEP524307:GEP524312 GOL524307:GOL524312 GYH524307:GYH524312 HID524307:HID524312 HRZ524307:HRZ524312 IBV524307:IBV524312 ILR524307:ILR524312 IVN524307:IVN524312 JFJ524307:JFJ524312 JPF524307:JPF524312 JZB524307:JZB524312 KIX524307:KIX524312 KST524307:KST524312 LCP524307:LCP524312 LML524307:LML524312 LWH524307:LWH524312 MGD524307:MGD524312 MPZ524307:MPZ524312 MZV524307:MZV524312 NJR524307:NJR524312 NTN524307:NTN524312 ODJ524307:ODJ524312 ONF524307:ONF524312 OXB524307:OXB524312 PGX524307:PGX524312 PQT524307:PQT524312 QAP524307:QAP524312 QKL524307:QKL524312 QUH524307:QUH524312 RED524307:RED524312 RNZ524307:RNZ524312 RXV524307:RXV524312 SHR524307:SHR524312 SRN524307:SRN524312 TBJ524307:TBJ524312 TLF524307:TLF524312 TVB524307:TVB524312 UEX524307:UEX524312 UOT524307:UOT524312 UYP524307:UYP524312 VIL524307:VIL524312 VSH524307:VSH524312 WCD524307:WCD524312 WLZ524307:WLZ524312 WVV524307:WVV524312 X589843:X589848 JJ589843:JJ589848 TF589843:TF589848 ADB589843:ADB589848 AMX589843:AMX589848 AWT589843:AWT589848 BGP589843:BGP589848 BQL589843:BQL589848 CAH589843:CAH589848 CKD589843:CKD589848 CTZ589843:CTZ589848 DDV589843:DDV589848 DNR589843:DNR589848 DXN589843:DXN589848 EHJ589843:EHJ589848 ERF589843:ERF589848 FBB589843:FBB589848 FKX589843:FKX589848 FUT589843:FUT589848 GEP589843:GEP589848 GOL589843:GOL589848 GYH589843:GYH589848 HID589843:HID589848 HRZ589843:HRZ589848 IBV589843:IBV589848 ILR589843:ILR589848 IVN589843:IVN589848 JFJ589843:JFJ589848 JPF589843:JPF589848 JZB589843:JZB589848 KIX589843:KIX589848 KST589843:KST589848 LCP589843:LCP589848 LML589843:LML589848 LWH589843:LWH589848 MGD589843:MGD589848 MPZ589843:MPZ589848 MZV589843:MZV589848 NJR589843:NJR589848 NTN589843:NTN589848 ODJ589843:ODJ589848 ONF589843:ONF589848 OXB589843:OXB589848 PGX589843:PGX589848 PQT589843:PQT589848 QAP589843:QAP589848 QKL589843:QKL589848 QUH589843:QUH589848 RED589843:RED589848 RNZ589843:RNZ589848 RXV589843:RXV589848 SHR589843:SHR589848 SRN589843:SRN589848 TBJ589843:TBJ589848 TLF589843:TLF589848 TVB589843:TVB589848 UEX589843:UEX589848 UOT589843:UOT589848 UYP589843:UYP589848 VIL589843:VIL589848 VSH589843:VSH589848 WCD589843:WCD589848 WLZ589843:WLZ589848 WVV589843:WVV589848 X655379:X655384 JJ655379:JJ655384 TF655379:TF655384 ADB655379:ADB655384 AMX655379:AMX655384 AWT655379:AWT655384 BGP655379:BGP655384 BQL655379:BQL655384 CAH655379:CAH655384 CKD655379:CKD655384 CTZ655379:CTZ655384 DDV655379:DDV655384 DNR655379:DNR655384 DXN655379:DXN655384 EHJ655379:EHJ655384 ERF655379:ERF655384 FBB655379:FBB655384 FKX655379:FKX655384 FUT655379:FUT655384 GEP655379:GEP655384 GOL655379:GOL655384 GYH655379:GYH655384 HID655379:HID655384 HRZ655379:HRZ655384 IBV655379:IBV655384 ILR655379:ILR655384 IVN655379:IVN655384 JFJ655379:JFJ655384 JPF655379:JPF655384 JZB655379:JZB655384 KIX655379:KIX655384 KST655379:KST655384 LCP655379:LCP655384 LML655379:LML655384 LWH655379:LWH655384 MGD655379:MGD655384 MPZ655379:MPZ655384 MZV655379:MZV655384 NJR655379:NJR655384 NTN655379:NTN655384 ODJ655379:ODJ655384 ONF655379:ONF655384 OXB655379:OXB655384 PGX655379:PGX655384 PQT655379:PQT655384 QAP655379:QAP655384 QKL655379:QKL655384 QUH655379:QUH655384 RED655379:RED655384 RNZ655379:RNZ655384 RXV655379:RXV655384 SHR655379:SHR655384 SRN655379:SRN655384 TBJ655379:TBJ655384 TLF655379:TLF655384 TVB655379:TVB655384 UEX655379:UEX655384 UOT655379:UOT655384 UYP655379:UYP655384 VIL655379:VIL655384 VSH655379:VSH655384 WCD655379:WCD655384 WLZ655379:WLZ655384 WVV655379:WVV655384 X720915:X720920 JJ720915:JJ720920 TF720915:TF720920 ADB720915:ADB720920 AMX720915:AMX720920 AWT720915:AWT720920 BGP720915:BGP720920 BQL720915:BQL720920 CAH720915:CAH720920 CKD720915:CKD720920 CTZ720915:CTZ720920 DDV720915:DDV720920 DNR720915:DNR720920 DXN720915:DXN720920 EHJ720915:EHJ720920 ERF720915:ERF720920 FBB720915:FBB720920 FKX720915:FKX720920 FUT720915:FUT720920 GEP720915:GEP720920 GOL720915:GOL720920 GYH720915:GYH720920 HID720915:HID720920 HRZ720915:HRZ720920 IBV720915:IBV720920 ILR720915:ILR720920 IVN720915:IVN720920 JFJ720915:JFJ720920 JPF720915:JPF720920 JZB720915:JZB720920 KIX720915:KIX720920 KST720915:KST720920 LCP720915:LCP720920 LML720915:LML720920 LWH720915:LWH720920 MGD720915:MGD720920 MPZ720915:MPZ720920 MZV720915:MZV720920 NJR720915:NJR720920 NTN720915:NTN720920 ODJ720915:ODJ720920 ONF720915:ONF720920 OXB720915:OXB720920 PGX720915:PGX720920 PQT720915:PQT720920 QAP720915:QAP720920 QKL720915:QKL720920 QUH720915:QUH720920 RED720915:RED720920 RNZ720915:RNZ720920 RXV720915:RXV720920 SHR720915:SHR720920 SRN720915:SRN720920 TBJ720915:TBJ720920 TLF720915:TLF720920 TVB720915:TVB720920 UEX720915:UEX720920 UOT720915:UOT720920 UYP720915:UYP720920 VIL720915:VIL720920 VSH720915:VSH720920 WCD720915:WCD720920 WLZ720915:WLZ720920 WVV720915:WVV720920 X786451:X786456 JJ786451:JJ786456 TF786451:TF786456 ADB786451:ADB786456 AMX786451:AMX786456 AWT786451:AWT786456 BGP786451:BGP786456 BQL786451:BQL786456 CAH786451:CAH786456 CKD786451:CKD786456 CTZ786451:CTZ786456 DDV786451:DDV786456 DNR786451:DNR786456 DXN786451:DXN786456 EHJ786451:EHJ786456 ERF786451:ERF786456 FBB786451:FBB786456 FKX786451:FKX786456 FUT786451:FUT786456 GEP786451:GEP786456 GOL786451:GOL786456 GYH786451:GYH786456 HID786451:HID786456 HRZ786451:HRZ786456 IBV786451:IBV786456 ILR786451:ILR786456 IVN786451:IVN786456 JFJ786451:JFJ786456 JPF786451:JPF786456 JZB786451:JZB786456 KIX786451:KIX786456 KST786451:KST786456 LCP786451:LCP786456 LML786451:LML786456 LWH786451:LWH786456 MGD786451:MGD786456 MPZ786451:MPZ786456 MZV786451:MZV786456 NJR786451:NJR786456 NTN786451:NTN786456 ODJ786451:ODJ786456 ONF786451:ONF786456 OXB786451:OXB786456 PGX786451:PGX786456 PQT786451:PQT786456 QAP786451:QAP786456 QKL786451:QKL786456 QUH786451:QUH786456 RED786451:RED786456 RNZ786451:RNZ786456 RXV786451:RXV786456 SHR786451:SHR786456 SRN786451:SRN786456 TBJ786451:TBJ786456 TLF786451:TLF786456 TVB786451:TVB786456 UEX786451:UEX786456 UOT786451:UOT786456 UYP786451:UYP786456 VIL786451:VIL786456 VSH786451:VSH786456 WCD786451:WCD786456 WLZ786451:WLZ786456 WVV786451:WVV786456 X851987:X851992 JJ851987:JJ851992 TF851987:TF851992 ADB851987:ADB851992 AMX851987:AMX851992 AWT851987:AWT851992 BGP851987:BGP851992 BQL851987:BQL851992 CAH851987:CAH851992 CKD851987:CKD851992 CTZ851987:CTZ851992 DDV851987:DDV851992 DNR851987:DNR851992 DXN851987:DXN851992 EHJ851987:EHJ851992 ERF851987:ERF851992 FBB851987:FBB851992 FKX851987:FKX851992 FUT851987:FUT851992 GEP851987:GEP851992 GOL851987:GOL851992 GYH851987:GYH851992 HID851987:HID851992 HRZ851987:HRZ851992 IBV851987:IBV851992 ILR851987:ILR851992 IVN851987:IVN851992 JFJ851987:JFJ851992 JPF851987:JPF851992 JZB851987:JZB851992 KIX851987:KIX851992 KST851987:KST851992 LCP851987:LCP851992 LML851987:LML851992 LWH851987:LWH851992 MGD851987:MGD851992 MPZ851987:MPZ851992 MZV851987:MZV851992 NJR851987:NJR851992 NTN851987:NTN851992 ODJ851987:ODJ851992 ONF851987:ONF851992 OXB851987:OXB851992 PGX851987:PGX851992 PQT851987:PQT851992 QAP851987:QAP851992 QKL851987:QKL851992 QUH851987:QUH851992 RED851987:RED851992 RNZ851987:RNZ851992 RXV851987:RXV851992 SHR851987:SHR851992 SRN851987:SRN851992 TBJ851987:TBJ851992 TLF851987:TLF851992 TVB851987:TVB851992 UEX851987:UEX851992 UOT851987:UOT851992 UYP851987:UYP851992 VIL851987:VIL851992 VSH851987:VSH851992 WCD851987:WCD851992 WLZ851987:WLZ851992 WVV851987:WVV851992 X917523:X917528 JJ917523:JJ917528 TF917523:TF917528 ADB917523:ADB917528 AMX917523:AMX917528 AWT917523:AWT917528 BGP917523:BGP917528 BQL917523:BQL917528 CAH917523:CAH917528 CKD917523:CKD917528 CTZ917523:CTZ917528 DDV917523:DDV917528 DNR917523:DNR917528 DXN917523:DXN917528 EHJ917523:EHJ917528 ERF917523:ERF917528 FBB917523:FBB917528 FKX917523:FKX917528 FUT917523:FUT917528 GEP917523:GEP917528 GOL917523:GOL917528 GYH917523:GYH917528 HID917523:HID917528 HRZ917523:HRZ917528 IBV917523:IBV917528 ILR917523:ILR917528 IVN917523:IVN917528 JFJ917523:JFJ917528 JPF917523:JPF917528 JZB917523:JZB917528 KIX917523:KIX917528 KST917523:KST917528 LCP917523:LCP917528 LML917523:LML917528 LWH917523:LWH917528 MGD917523:MGD917528 MPZ917523:MPZ917528 MZV917523:MZV917528 NJR917523:NJR917528 NTN917523:NTN917528 ODJ917523:ODJ917528 ONF917523:ONF917528 OXB917523:OXB917528 PGX917523:PGX917528 PQT917523:PQT917528 QAP917523:QAP917528 QKL917523:QKL917528 QUH917523:QUH917528 RED917523:RED917528 RNZ917523:RNZ917528 RXV917523:RXV917528 SHR917523:SHR917528 SRN917523:SRN917528 TBJ917523:TBJ917528 TLF917523:TLF917528 TVB917523:TVB917528 UEX917523:UEX917528 UOT917523:UOT917528 UYP917523:UYP917528 VIL917523:VIL917528 VSH917523:VSH917528 WCD917523:WCD917528 WLZ917523:WLZ917528 WVV917523:WVV917528 X983059:X983064 JJ983059:JJ983064 TF983059:TF983064 ADB983059:ADB983064 AMX983059:AMX983064 AWT983059:AWT983064 BGP983059:BGP983064 BQL983059:BQL983064 CAH983059:CAH983064 CKD983059:CKD983064 CTZ983059:CTZ983064 DDV983059:DDV983064 DNR983059:DNR983064 DXN983059:DXN983064 EHJ983059:EHJ983064 ERF983059:ERF983064 FBB983059:FBB983064 FKX983059:FKX983064 FUT983059:FUT983064 GEP983059:GEP983064 GOL983059:GOL983064 GYH983059:GYH983064 HID983059:HID983064 HRZ983059:HRZ983064 IBV983059:IBV983064 ILR983059:ILR983064 IVN983059:IVN983064 JFJ983059:JFJ983064 JPF983059:JPF983064 JZB983059:JZB983064 KIX983059:KIX983064 KST983059:KST983064 LCP983059:LCP983064 LML983059:LML983064 LWH983059:LWH983064 MGD983059:MGD983064 MPZ983059:MPZ983064 MZV983059:MZV983064 NJR983059:NJR983064 NTN983059:NTN983064 ODJ983059:ODJ983064 ONF983059:ONF983064 OXB983059:OXB983064 PGX983059:PGX983064 PQT983059:PQT983064 QAP983059:QAP983064 QKL983059:QKL983064 QUH983059:QUH983064 RED983059:RED983064 RNZ983059:RNZ983064 RXV983059:RXV983064 SHR983059:SHR983064 SRN983059:SRN983064 TBJ983059:TBJ983064 TLF983059:TLF983064 TVB983059:TVB983064 UEX983059:UEX983064 UOT983059:UOT983064 UYP983059:UYP983064 VIL983059:VIL983064 VSH983059:VSH983064 WCD983059:WCD983064 WLZ983059:WLZ983064 WVV19:WVV24 JJ19:JJ24 TF19:TF24 ADB19:ADB24 AMX19:AMX24 AWT19:AWT24 BGP19:BGP24 BQL19:BQL24 CAH19:CAH24 CKD19:CKD24 CTZ19:CTZ24 DDV19:DDV24 DNR19:DNR24 DXN19:DXN24 EHJ19:EHJ24 ERF19:ERF24 FBB19:FBB24 FKX19:FKX24 FUT19:FUT24 GEP19:GEP24 GOL19:GOL24 GYH19:GYH24 HID19:HID24 HRZ19:HRZ24 IBV19:IBV24 ILR19:ILR24 IVN19:IVN24 JFJ19:JFJ24 JPF19:JPF24 JZB19:JZB24 KIX19:KIX24 KST19:KST24 LCP19:LCP24 LML19:LML24 LWH19:LWH24 MGD19:MGD24 MPZ19:MPZ24 MZV19:MZV24 NJR19:NJR24 NTN19:NTN24 ODJ19:ODJ24 ONF19:ONF24 OXB19:OXB24 PGX19:PGX24 PQT19:PQT24 QAP19:QAP24 QKL19:QKL24 QUH19:QUH24 RED19:RED24 RNZ19:RNZ24 RXV19:RXV24 SHR19:SHR24 SRN19:SRN24 TBJ19:TBJ24 TLF19:TLF24 TVB19:TVB24 UEX19:UEX24 UOT19:UOT24 UYP19:UYP24 VIL19:VIL24 VSH19:VSH24 WCD19:WCD24 WLZ19:WLZ24 SW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F61A08-69DB-8B68-0F68-A25DABF63F7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3570DA-0B58-8174-4278-5CBBAB4B486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BE9218-DD38-1725-9568-E8AF5271CE8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0FDCC9-64C8-61F2-46E8-E7C1D136743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064414-CF68-DD78-8368-FE972E6F815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386B5B-49F8-4E63-2B07-D59122A951A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1C5528-5578-74FA-F628-BFAAE443D0D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AF3499-2DC5-5A18-4BA8-8EC953D93B7E}"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51"/>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5362A8-44E8-F088-4E5C-59F740D955CE}" mc:Ignorable="x14ac xr xr2 xr3">
  <sheetPr>
    <tabColor theme="3" tint="0.6"/>
  </sheetPr>
  <dimension ref="A1:I58"/>
  <sheetViews>
    <sheetView topLeftCell="A1" showGridLines="0" zoomScale="90" workbookViewId="0">
      <selection activeCell="A1" sqref="A1"/>
    </sheetView>
  </sheetViews>
  <sheetFormatPr defaultColWidth="9.140625" customHeight="1" defaultRowHeight="11.25"/>
  <cols>
    <col min="1" max="1" style="3008" width="15.00390625" hidden="1" customWidth="1"/>
    <col min="2" max="2" style="3010" width="15.00390625" hidden="1" customWidth="1"/>
    <col min="3" max="3" style="3088" width="3.7109375" customWidth="1"/>
    <col min="4" max="4" style="3089" width="6.8515625" customWidth="1"/>
    <col min="5" max="5" style="3088" width="52.28125" customWidth="1"/>
    <col min="6" max="6" style="3088" width="48.8515625" customWidth="1"/>
    <col min="7" max="7" style="3088" width="121.7109375" customWidth="1"/>
    <col min="8" max="8" style="3088" width="9.140625"/>
    <col min="9" max="9" style="3088" width="65.00390625" customWidth="1"/>
  </cols>
  <sheetData>
    <row customHeight="1" ht="11.25" hidden="1">
      <c r="A1" s="1726" t="s">
        <v>290</v>
      </c>
    </row>
    <row customHeight="1" ht="11.25" hidden="1"/>
    <row s="3009" customFormat="1" customHeight="1" ht="11.25">
      <c r="A3" s="1726"/>
      <c r="B3" s="507"/>
      <c r="D3" s="484"/>
    </row>
    <row customHeight="1" ht="25.5">
      <c r="D4" s="2019"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020"/>
      <c r="F4" s="2021"/>
      <c r="I4" s="721"/>
    </row>
    <row customHeight="1" ht="17.25">
      <c r="D5" s="2053" t="str">
        <f>IF(org=0,"Не определено",org)</f>
        <v>МУП г. Азова "Теплоэнерго"</v>
      </c>
      <c r="E5" s="2053"/>
      <c r="F5" s="2053"/>
      <c r="I5" s="721"/>
    </row>
    <row s="3009" customFormat="1" customHeight="1" ht="11.25">
      <c r="A6" s="1726"/>
      <c r="B6" s="507"/>
      <c r="D6" s="720"/>
      <c r="E6" s="720"/>
      <c r="F6" s="758"/>
      <c r="G6" s="720"/>
    </row>
    <row customHeight="1" ht="11.25" hidden="1">
      <c r="A7" s="463"/>
      <c r="B7" s="508"/>
      <c r="C7" s="463"/>
      <c r="D7" s="469"/>
      <c r="E7" s="2060"/>
      <c r="F7" s="2060"/>
    </row>
    <row customHeight="1" ht="11.25">
      <c r="A8" s="463"/>
      <c r="B8" s="508"/>
      <c r="C8" s="463"/>
      <c r="D8" s="2056" t="s">
        <v>291</v>
      </c>
      <c r="E8" s="2057"/>
      <c r="F8" s="2057"/>
      <c r="G8" s="2061" t="s">
        <v>292</v>
      </c>
    </row>
    <row customHeight="1" ht="11.25">
      <c r="A9" s="463"/>
      <c r="B9" s="508"/>
      <c r="C9" s="463"/>
      <c r="D9" s="478" t="s">
        <v>87</v>
      </c>
      <c r="E9" s="452" t="s">
        <v>293</v>
      </c>
      <c r="F9" s="452" t="s">
        <v>294</v>
      </c>
      <c r="G9" s="2062"/>
    </row>
    <row customHeight="1" ht="12" hidden="1">
      <c r="A10" s="463"/>
      <c r="B10" s="508"/>
      <c r="C10" s="463"/>
      <c r="D10" s="470"/>
      <c r="E10" s="470"/>
      <c r="F10" s="470"/>
      <c r="G10" s="470"/>
    </row>
    <row customHeight="1" ht="22.5" hidden="1">
      <c r="A11" s="463"/>
      <c r="B11" s="508"/>
      <c r="C11" s="463"/>
      <c r="D11" s="1016" t="s">
        <v>108</v>
      </c>
      <c r="E11" s="1019" t="s">
        <v>295</v>
      </c>
      <c r="F11" s="1018" t="str">
        <f>IF(region_name="","",region_name)</f>
        <v>Ростовская область</v>
      </c>
      <c r="G11" s="1019" t="s">
        <v>296</v>
      </c>
      <c r="H11" s="481"/>
    </row>
    <row customHeight="1" ht="22.5" hidden="1">
      <c r="A12" s="463"/>
      <c r="B12" s="508"/>
      <c r="C12" s="463"/>
      <c r="D12" s="451" t="s">
        <v>108</v>
      </c>
      <c r="E12" s="45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9" t="s">
        <v>297</v>
      </c>
      <c r="G12" s="480"/>
      <c r="H12" s="481"/>
    </row>
    <row customHeight="1" ht="22.5">
      <c r="A13" s="463"/>
      <c r="B13" s="508"/>
      <c r="C13" s="463"/>
      <c r="D13" s="451" t="s">
        <v>108</v>
      </c>
      <c r="E13" s="448" t="str">
        <f>"Наименование юридического лица"&amp;IF(TEMPLATE_SPHERE="TKO"," (индивидуального предпринимателя)","")</f>
        <v>Наименование юридического лица</v>
      </c>
      <c r="F13" s="447"/>
      <c r="G13" s="45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81"/>
    </row>
    <row customHeight="1" ht="22.5" hidden="1">
      <c r="A14" s="463"/>
      <c r="B14" s="508"/>
      <c r="C14" s="463"/>
      <c r="D14" s="1016" t="s">
        <v>298</v>
      </c>
      <c r="E14" s="1017" t="s">
        <v>299</v>
      </c>
      <c r="F14" s="1018" t="str">
        <f>IF(inn="","",inn)</f>
        <v>6140028670</v>
      </c>
      <c r="G14" s="1019" t="s">
        <v>300</v>
      </c>
      <c r="H14" s="481"/>
    </row>
    <row customHeight="1" ht="22.5" hidden="1">
      <c r="A15" s="463"/>
      <c r="B15" s="508"/>
      <c r="C15" s="463"/>
      <c r="D15" s="1016" t="s">
        <v>301</v>
      </c>
      <c r="E15" s="1017" t="s">
        <v>302</v>
      </c>
      <c r="F15" s="1018" t="str">
        <f>IF(kpp="","",kpp)</f>
        <v>614001001</v>
      </c>
      <c r="G15" s="1019" t="s">
        <v>303</v>
      </c>
      <c r="H15" s="481"/>
    </row>
    <row customHeight="1" ht="36.75">
      <c r="A16" s="463"/>
      <c r="B16" s="508"/>
      <c r="C16" s="463"/>
      <c r="D16" s="451" t="s">
        <v>109</v>
      </c>
      <c r="E16" s="44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7"/>
      <c r="G16" s="45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1"/>
    </row>
    <row customHeight="1" ht="22.5">
      <c r="A17" s="463"/>
      <c r="B17" s="508"/>
      <c r="C17" s="463"/>
      <c r="D17" s="451" t="s">
        <v>89</v>
      </c>
      <c r="E17" s="448" t="str">
        <f>"Дата присвоения ОГРН"&amp;IF(TEMPLATE_SPHERE="TKO",""," (ОГРНИП)")</f>
        <v>Дата присвоения ОГРН (ОГРНИП)</v>
      </c>
      <c r="F17" s="1772" t="s">
        <v>24</v>
      </c>
      <c r="G17" s="450" t="str">
        <f>"Дата присвоения ОГРН"&amp;IF(TEMPLATE_SPHERE="TKO",""," (ОГРНИП)")&amp;" указывается в виде «ДД.ММ.ГГГГ»."</f>
        <v>Дата присвоения ОГРН (ОГРНИП) указывается в виде «ДД.ММ.ГГГГ».</v>
      </c>
      <c r="H17" s="481"/>
    </row>
    <row customHeight="1" ht="56.25">
      <c r="A18" s="463"/>
      <c r="B18" s="508"/>
      <c r="C18" s="463"/>
      <c r="D18" s="451" t="s">
        <v>90</v>
      </c>
      <c r="E18" s="44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7"/>
      <c r="G18" s="480"/>
      <c r="H18" s="481"/>
    </row>
    <row customHeight="1" ht="22.5" hidden="1">
      <c r="A19" s="2058">
        <v>1</v>
      </c>
      <c r="B19" s="508"/>
      <c r="C19" s="2063"/>
      <c r="D19" s="446">
        <v>5</v>
      </c>
      <c r="E19" s="448" t="s">
        <v>304</v>
      </c>
      <c r="F19" s="449" t="s">
        <v>297</v>
      </c>
      <c r="G19" s="450" t="s">
        <v>305</v>
      </c>
      <c r="H19" s="481"/>
      <c r="I19" s="858"/>
    </row>
    <row customHeight="1" ht="33.75" hidden="1">
      <c r="A20" s="2058"/>
      <c r="B20" s="508"/>
      <c r="C20" s="2063"/>
      <c r="D20" s="451" t="s">
        <v>306</v>
      </c>
      <c r="E20" s="445" t="s">
        <v>307</v>
      </c>
      <c r="F20" s="887" t="s">
        <v>24</v>
      </c>
      <c r="G20" s="480"/>
      <c r="H20" s="481"/>
      <c r="I20" s="858"/>
    </row>
    <row customHeight="1" ht="22.5" hidden="1">
      <c r="A21" s="2058"/>
      <c r="B21" s="508"/>
      <c r="C21" s="2063"/>
      <c r="D21" s="451" t="s">
        <v>308</v>
      </c>
      <c r="E21" s="445" t="s">
        <v>309</v>
      </c>
      <c r="F21" s="1773" t="s">
        <v>24</v>
      </c>
      <c r="G21" s="450" t="s">
        <v>310</v>
      </c>
      <c r="H21" s="481"/>
      <c r="I21" s="858"/>
    </row>
    <row customHeight="1" ht="22.5" hidden="1">
      <c r="A22" s="2058"/>
      <c r="B22" s="508"/>
      <c r="C22" s="2063"/>
      <c r="D22" s="451" t="s">
        <v>311</v>
      </c>
      <c r="E22" s="445" t="s">
        <v>312</v>
      </c>
      <c r="F22" s="887" t="s">
        <v>24</v>
      </c>
      <c r="G22" s="480"/>
      <c r="H22" s="481"/>
      <c r="I22" s="858"/>
    </row>
    <row customHeight="1" ht="22.5" hidden="1">
      <c r="A23" s="2058"/>
      <c r="B23" s="508"/>
      <c r="C23" s="2063"/>
      <c r="D23" s="451" t="s">
        <v>313</v>
      </c>
      <c r="E23" s="445" t="s">
        <v>314</v>
      </c>
      <c r="F23" s="887" t="s">
        <v>24</v>
      </c>
      <c r="G23" s="450" t="s">
        <v>315</v>
      </c>
      <c r="H23" s="481"/>
      <c r="I23" s="858"/>
    </row>
    <row s="3010" customFormat="1" customHeight="1" ht="24.75" hidden="1">
      <c r="A24" s="463"/>
      <c r="B24" s="508"/>
      <c r="C24" s="508"/>
      <c r="D24" s="1013" t="s">
        <v>89</v>
      </c>
      <c r="E24" s="1015" t="s">
        <v>316</v>
      </c>
      <c r="F24" s="1020" t="s">
        <v>297</v>
      </c>
      <c r="G24" s="1015"/>
    </row>
    <row s="3010" customFormat="1" customHeight="1" ht="11.25" hidden="1">
      <c r="A25" s="463"/>
      <c r="B25" s="508"/>
      <c r="C25" s="508"/>
      <c r="D25" s="1013" t="s">
        <v>317</v>
      </c>
      <c r="E25" s="1014" t="s">
        <v>318</v>
      </c>
      <c r="F25" s="1020" t="s">
        <v>297</v>
      </c>
      <c r="G25" s="1015"/>
    </row>
    <row s="3010" customFormat="1" customHeight="1" ht="11.25" hidden="1">
      <c r="A26" s="463"/>
      <c r="B26" s="508"/>
      <c r="C26" s="508"/>
      <c r="D26" s="1013" t="s">
        <v>319</v>
      </c>
      <c r="E26" s="1021" t="s">
        <v>320</v>
      </c>
      <c r="F26" s="1022"/>
      <c r="G26" s="1015"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row>
    <row s="3010" customFormat="1" customHeight="1" ht="11.25" hidden="1">
      <c r="A27" s="463"/>
      <c r="B27" s="508"/>
      <c r="C27" s="508"/>
      <c r="D27" s="1013" t="s">
        <v>321</v>
      </c>
      <c r="E27" s="1021" t="s">
        <v>322</v>
      </c>
      <c r="F27" s="1022"/>
      <c r="G27" s="1015"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row>
    <row s="3010" customFormat="1" customHeight="1" ht="11.25" hidden="1">
      <c r="A28" s="463"/>
      <c r="B28" s="508"/>
      <c r="C28" s="508"/>
      <c r="D28" s="1013" t="s">
        <v>323</v>
      </c>
      <c r="E28" s="1021" t="s">
        <v>324</v>
      </c>
      <c r="F28" s="1022"/>
      <c r="G28" s="1015"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row>
    <row s="3010" customFormat="1" customHeight="1" ht="11.25" hidden="1">
      <c r="A29" s="463"/>
      <c r="B29" s="508"/>
      <c r="C29" s="508"/>
      <c r="D29" s="1013" t="s">
        <v>325</v>
      </c>
      <c r="E29" s="1014" t="s">
        <v>326</v>
      </c>
      <c r="F29" s="1022"/>
      <c r="G29" s="1015"/>
    </row>
    <row s="3010" customFormat="1" customHeight="1" ht="11.25" hidden="1">
      <c r="A30" s="463"/>
      <c r="B30" s="508"/>
      <c r="C30" s="508"/>
      <c r="D30" s="1013" t="s">
        <v>327</v>
      </c>
      <c r="E30" s="1014" t="s">
        <v>328</v>
      </c>
      <c r="F30" s="1022"/>
      <c r="G30" s="1015"/>
    </row>
    <row s="3010" customFormat="1" customHeight="1" ht="11.25" hidden="1">
      <c r="A31" s="463"/>
      <c r="B31" s="508"/>
      <c r="C31" s="508"/>
      <c r="D31" s="1013" t="s">
        <v>329</v>
      </c>
      <c r="E31" s="1014" t="s">
        <v>330</v>
      </c>
      <c r="F31" s="1023"/>
      <c r="G31" s="1015"/>
    </row>
    <row customHeight="1" ht="22.5">
      <c r="A32" s="463" t="str">
        <f>IF(TEMPLATE_SPHERE="HEAT","6","5")</f>
        <v>6</v>
      </c>
      <c r="B32" s="508"/>
      <c r="C32" s="463"/>
      <c r="D32" s="446" t="str">
        <f>A32</f>
        <v>6</v>
      </c>
      <c r="E32" s="44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2" s="449" t="s">
        <v>297</v>
      </c>
      <c r="G32" s="480"/>
      <c r="H32" s="481"/>
    </row>
    <row customHeight="1" ht="22.5">
      <c r="A33" s="463"/>
      <c r="B33" s="508"/>
      <c r="C33" s="463"/>
      <c r="D33" s="446" t="str">
        <f>D32&amp;".1"</f>
        <v>6.1</v>
      </c>
      <c r="E33" s="448" t="str">
        <f>"фамилия"&amp;IF(TEMPLATE_SPHERE&lt;&gt;"HEAT"," руководителя","")</f>
        <v>фамилия</v>
      </c>
      <c r="F33" s="447"/>
      <c r="G33" s="45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3" s="481"/>
    </row>
    <row customHeight="1" ht="22.5">
      <c r="A34" s="463"/>
      <c r="B34" s="508"/>
      <c r="C34" s="463"/>
      <c r="D34" s="446" t="str">
        <f>D32&amp;".2"</f>
        <v>6.2</v>
      </c>
      <c r="E34" s="448" t="str">
        <f>"имя"&amp;IF(TEMPLATE_SPHERE&lt;&gt;"HEAT"," руководителя","")</f>
        <v>имя</v>
      </c>
      <c r="F34" s="447"/>
      <c r="G34" s="45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4" s="481"/>
    </row>
    <row customHeight="1" ht="22.5">
      <c r="A35" s="463"/>
      <c r="B35" s="508"/>
      <c r="C35" s="463"/>
      <c r="D35" s="446" t="str">
        <f>D32&amp;".3"</f>
        <v>6.3</v>
      </c>
      <c r="E35" s="448" t="str">
        <f>"отчество"&amp;IF(TEMPLATE_SPHERE&lt;&gt;"HEAT"," руководителя","")</f>
        <v>отчество</v>
      </c>
      <c r="F35" s="704"/>
      <c r="G35" s="45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5" s="481"/>
    </row>
    <row customHeight="1" ht="33.75">
      <c r="A36" s="463"/>
      <c r="B36" s="508"/>
      <c r="C36" s="463"/>
      <c r="D36" s="446">
        <f>D32+1</f>
        <v>7</v>
      </c>
      <c r="E36" s="44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6" s="447"/>
      <c r="G36" s="450" t="s">
        <v>331</v>
      </c>
      <c r="H36" s="481"/>
    </row>
    <row customHeight="1" ht="33.75">
      <c r="A37" s="463"/>
      <c r="B37" s="508"/>
      <c r="C37" s="463"/>
      <c r="D37" s="446">
        <f>D36+1</f>
        <v>8</v>
      </c>
      <c r="E37" s="44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7" s="447"/>
      <c r="G37" s="450" t="s">
        <v>331</v>
      </c>
      <c r="H37" s="481"/>
    </row>
    <row customHeight="1" ht="22.5">
      <c r="A38" s="463"/>
      <c r="B38" s="508"/>
      <c r="C38" s="463"/>
      <c r="D38" s="446">
        <f>D37+1</f>
        <v>9</v>
      </c>
      <c r="E38" s="44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8" s="449" t="s">
        <v>297</v>
      </c>
      <c r="G38" s="2064"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8" s="481"/>
    </row>
    <row customHeight="1" ht="22.5" hidden="1">
      <c r="A39" s="463"/>
      <c r="B39" s="508"/>
      <c r="C39" s="463"/>
      <c r="D39" s="446" t="str">
        <f>D38&amp;".0"</f>
        <v>9.0</v>
      </c>
      <c r="E39" s="1645"/>
      <c r="F39" s="887"/>
      <c r="G39" s="2065"/>
      <c r="H39" s="481"/>
    </row>
    <row customHeight="1" ht="22.5">
      <c r="A40" s="463"/>
      <c r="B40" s="463"/>
      <c r="C40" s="1728"/>
      <c r="D40" s="446" t="str">
        <f>D38&amp;".1"</f>
        <v>9.1</v>
      </c>
      <c r="E40" s="866"/>
      <c r="F40" s="867"/>
      <c r="G40" s="2065"/>
      <c r="H40" s="481"/>
    </row>
    <row customHeight="1" ht="15">
      <c r="A41" s="463"/>
      <c r="B41" s="508"/>
      <c r="C41" s="463"/>
      <c r="D41" s="473"/>
      <c r="E41" s="421" t="s">
        <v>332</v>
      </c>
      <c r="F41" s="475"/>
      <c r="G41" s="2066"/>
      <c r="H41" s="482"/>
    </row>
    <row customHeight="1" ht="25.5">
      <c r="A42" s="463"/>
      <c r="B42" s="508"/>
      <c r="C42" s="463"/>
      <c r="D42" s="446">
        <f>D38+1</f>
        <v>10</v>
      </c>
      <c r="E42" s="44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2" s="868"/>
      <c r="G42" s="45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2" s="481"/>
    </row>
    <row customHeight="1" ht="22.5">
      <c r="A43" s="463"/>
      <c r="B43" s="508"/>
      <c r="C43" s="463"/>
      <c r="D43" s="446">
        <f>D42+1</f>
        <v>11</v>
      </c>
      <c r="E43" s="44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3" s="381"/>
      <c r="G43" s="480" t="s">
        <v>333</v>
      </c>
      <c r="H43" s="481"/>
    </row>
    <row customHeight="1" ht="22.5">
      <c r="A44" s="463"/>
      <c r="B44" s="508"/>
      <c r="C44" s="463"/>
      <c r="D44" s="446">
        <f>D43+1</f>
        <v>12</v>
      </c>
      <c r="E44" s="444" t="s">
        <v>334</v>
      </c>
      <c r="F44" s="449" t="s">
        <v>297</v>
      </c>
      <c r="G44" s="443" t="str">
        <f>IF(TEMPLATE_SPHERE="TKO","Указывается режим работы организации.","")</f>
        <v/>
      </c>
      <c r="H44" s="481"/>
    </row>
    <row customHeight="1" ht="22.5">
      <c r="A45" s="463"/>
      <c r="B45" s="508"/>
      <c r="C45" s="463"/>
      <c r="D45" s="446" t="str">
        <f>D44&amp;".1"</f>
        <v>12.1</v>
      </c>
      <c r="E45" s="448" t="str">
        <f>"режим работы регулируемой организации"&amp;IF(TEMPLATE_SPHERE="HEAT",", ЕТО, ТО","")</f>
        <v>режим работы регулируемой организации, ЕТО, ТО</v>
      </c>
      <c r="F45" s="1724"/>
      <c r="G45" s="443" t="s">
        <v>335</v>
      </c>
      <c r="H45" s="481"/>
    </row>
    <row customHeight="1" ht="22.5">
      <c r="A46" s="2054"/>
      <c r="B46" s="508"/>
      <c r="C46" s="498"/>
      <c r="D46" s="446" t="str">
        <f>D44&amp;".2"</f>
        <v>12.2</v>
      </c>
      <c r="E46" s="448" t="s">
        <v>336</v>
      </c>
      <c r="F46" s="496"/>
      <c r="G46" s="443" t="s">
        <v>337</v>
      </c>
      <c r="H46" s="481"/>
    </row>
    <row customHeight="1" ht="22.5">
      <c r="A47" s="2054"/>
      <c r="B47" s="508"/>
      <c r="C47" s="498"/>
      <c r="D47" s="446" t="str">
        <f>D44&amp;".3"</f>
        <v>12.3</v>
      </c>
      <c r="E47" s="448" t="s">
        <v>338</v>
      </c>
      <c r="F47" s="496"/>
      <c r="G47" s="443" t="s">
        <v>339</v>
      </c>
      <c r="H47" s="481"/>
    </row>
    <row customHeight="1" ht="22.5">
      <c r="A48" s="2054"/>
      <c r="B48" s="508"/>
      <c r="C48" s="498"/>
      <c r="D48" s="446" t="str">
        <f>IF(TEMPLATE_SPHERE="TKO",D44&amp;".0",D44&amp;".4")</f>
        <v>12.4</v>
      </c>
      <c r="E48" s="442" t="s">
        <v>340</v>
      </c>
      <c r="F48" s="1725"/>
      <c r="G48" s="1802" t="s">
        <v>341</v>
      </c>
      <c r="H48" s="481"/>
    </row>
    <row customHeight="1" ht="22.5">
      <c r="A49" s="463"/>
      <c r="B49" s="508"/>
      <c r="C49" s="463"/>
      <c r="D49" s="473"/>
      <c r="E49" s="421" t="s">
        <v>342</v>
      </c>
      <c r="F49" s="474"/>
      <c r="G49" s="1802" t="s">
        <v>343</v>
      </c>
      <c r="H49" s="482"/>
    </row>
    <row customHeight="1" ht="22.5">
      <c r="A50" s="864"/>
      <c r="B50" s="508"/>
      <c r="C50" s="498"/>
      <c r="D50" s="446">
        <f>D44+1</f>
        <v>13</v>
      </c>
      <c r="E50" s="534" t="s">
        <v>344</v>
      </c>
      <c r="F50" s="496"/>
      <c r="G50" s="172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0" s="481"/>
    </row>
    <row customHeight="1" ht="11.25">
      <c r="A51" s="463"/>
      <c r="B51" s="508"/>
      <c r="C51" s="463"/>
    </row>
    <row s="3076" customFormat="1" customHeight="1" ht="30">
      <c r="A52" s="1727"/>
      <c r="B52" s="509"/>
      <c r="C52" s="2055"/>
      <c r="D52" s="205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2" s="2059"/>
      <c r="F52" s="2059"/>
      <c r="G52" s="2059"/>
      <c r="H52" s="460"/>
      <c r="I52" s="460"/>
    </row>
    <row s="3076" customFormat="1" customHeight="1" ht="39.75">
      <c r="A53" s="463"/>
      <c r="B53" s="508"/>
      <c r="C53" s="2055"/>
      <c r="D53" s="2059"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3" s="2059"/>
      <c r="F53" s="2059"/>
      <c r="G53" s="2059"/>
    </row>
    <row customHeight="1" ht="11.25">
      <c r="D54" s="464"/>
      <c r="E54" s="465"/>
      <c r="F54" s="465"/>
      <c r="G54" s="465"/>
    </row>
    <row customHeight="1" ht="27">
      <c r="D55" s="467"/>
      <c r="E55" s="464"/>
      <c r="F55" s="476"/>
      <c r="G55" s="476"/>
    </row>
    <row customHeight="1" ht="11.25">
      <c r="D56" s="464"/>
      <c r="E56" s="464"/>
      <c r="F56" s="465"/>
      <c r="G56" s="465"/>
    </row>
    <row customHeight="1" ht="39">
      <c r="D57" s="468"/>
      <c r="E57" s="477"/>
      <c r="F57" s="477"/>
      <c r="G57" s="477"/>
    </row>
    <row customHeight="1" ht="27">
      <c r="D58" s="468"/>
      <c r="E58" s="477"/>
      <c r="F58" s="477"/>
      <c r="G58" s="477"/>
    </row>
  </sheetData>
  <sheetProtection formatColumns="0" formatRows="0" sort="0" autoFilter="0" insertRows="0" insertColumns="1" deleteRows="0" deleteColumns="0"/>
  <mergeCells count="12">
    <mergeCell ref="D4:F4"/>
    <mergeCell ref="A46:A48"/>
    <mergeCell ref="C52:C53"/>
    <mergeCell ref="D8:F8"/>
    <mergeCell ref="A19:A23"/>
    <mergeCell ref="D52:G52"/>
    <mergeCell ref="D53:G53"/>
    <mergeCell ref="E7:F7"/>
    <mergeCell ref="G8:G9"/>
    <mergeCell ref="C19:C23"/>
    <mergeCell ref="D5:F5"/>
    <mergeCell ref="G38:G41"/>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2:F43 F26:F31 F16 F22:F23 F18 F20 F33:F37 E39:F4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0 F45:F48">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D95988-649C-8E5D-B5F8-8F20C96D0E88}" mc:Ignorable="x14ac xr xr2 xr3">
  <dimension ref="A1:E8"/>
  <sheetViews>
    <sheetView topLeftCell="A1" showGridLines="0" workbookViewId="0">
      <selection activeCell="A1" sqref="A1"/>
    </sheetView>
  </sheetViews>
  <sheetFormatPr customHeight="1" defaultRowHeight="11.25"/>
  <cols>
    <col min="1" max="1" width="10.57421875" customWidth="1"/>
    <col min="2" max="2" width="8.7109375" customWidth="1"/>
    <col min="3" max="3" width="18.140625" customWidth="1"/>
    <col min="4" max="4" width="12.57421875" customWidth="1"/>
  </cols>
  <sheetData>
    <row customHeight="1" ht="11.25">
      <c r="A1" s="759" t="s">
        <v>2168</v>
      </c>
      <c r="B1" s="770" t="s">
        <v>2169</v>
      </c>
      <c r="C1" s="2452" t="s">
        <v>2170</v>
      </c>
      <c r="D1" s="2453"/>
      <c r="E1" s="842" t="s">
        <v>2171</v>
      </c>
    </row>
    <row customHeight="1" ht="11.25">
      <c r="A2" s="763"/>
      <c r="B2" s="771" t="s">
        <v>22</v>
      </c>
      <c r="C2" s="759"/>
      <c r="D2" s="770"/>
      <c r="E2" s="842"/>
    </row>
    <row customHeight="1" ht="11.25">
      <c r="A3" s="774"/>
      <c r="B3" s="772" t="s">
        <v>29</v>
      </c>
      <c r="C3" s="759"/>
      <c r="D3" s="770"/>
      <c r="E3" s="842"/>
    </row>
    <row customHeight="1" ht="11.25">
      <c r="A4" s="775"/>
      <c r="B4" s="772" t="s">
        <v>1665</v>
      </c>
      <c r="C4" s="759"/>
      <c r="D4" s="770"/>
      <c r="E4" s="842"/>
    </row>
    <row customHeight="1" ht="11.25">
      <c r="A5" s="787"/>
      <c r="B5" s="772" t="s">
        <v>1659</v>
      </c>
      <c r="C5" s="762" t="s">
        <v>1907</v>
      </c>
      <c r="D5" s="886" t="s">
        <v>2172</v>
      </c>
      <c r="E5" s="842"/>
    </row>
    <row s="4752" customFormat="1" customHeight="1" ht="11.25">
      <c r="A6" s="773"/>
      <c r="B6" s="772" t="s">
        <v>1669</v>
      </c>
      <c r="C6" s="759"/>
      <c r="D6" s="770"/>
      <c r="E6" s="842"/>
    </row>
    <row customHeight="1" ht="11.25">
      <c r="A7" s="761"/>
      <c r="B7" s="772" t="s">
        <v>1677</v>
      </c>
      <c r="C7" s="759"/>
      <c r="D7" s="770"/>
      <c r="E7" s="842"/>
    </row>
    <row customHeight="1" ht="11.25">
      <c r="A8" s="762"/>
      <c r="B8" s="772" t="s">
        <v>1672</v>
      </c>
      <c r="C8" s="759"/>
      <c r="D8" s="770"/>
      <c r="E8" s="842"/>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681FE8-564F-88E8-F2E8-1FADF881D66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E0DB28-EBE8-A138-A708-0A54ADDC98B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436144-7D7A-C2F8-F672-060C3B23EEB8}" mc:Ignorable="x14ac xr xr2 xr3">
  <sheetPr>
    <tabColor rgb="FFFFCC99"/>
  </sheetPr>
  <dimension ref="A1:I429"/>
  <sheetViews>
    <sheetView topLeftCell="A1" showGridLines="0" workbookViewId="0">
      <selection activeCell="A1" sqref="A1"/>
    </sheetView>
  </sheetViews>
  <sheetFormatPr defaultColWidth="9.140625" customHeight="1" defaultRowHeight="11.25"/>
  <cols>
    <col min="1" max="2" style="5341" width="9.140625"/>
    <col min="3" max="3" style="5341" width="20.7109375" customWidth="1"/>
    <col min="4" max="4" style="5341" width="25.140625" customWidth="1"/>
    <col min="5" max="9" style="5341" width="9.140625"/>
  </cols>
  <sheetData>
    <row customHeight="1" ht="11.25">
      <c r="A1" s="53" t="s">
        <v>2173</v>
      </c>
      <c r="B1" s="53" t="s">
        <v>2174</v>
      </c>
      <c r="C1" s="53" t="s">
        <v>2175</v>
      </c>
      <c r="D1" s="53" t="s">
        <v>2176</v>
      </c>
      <c r="E1" s="53" t="s">
        <v>2177</v>
      </c>
      <c r="F1" s="53" t="s">
        <v>2178</v>
      </c>
      <c r="G1" s="53" t="s">
        <v>2179</v>
      </c>
      <c r="H1" s="53" t="s">
        <v>2180</v>
      </c>
      <c r="I1" s="53" t="s">
        <v>2181</v>
      </c>
    </row>
    <row customHeight="1" ht="11.25">
      <c r="A2" s="5342" t="s">
        <v>2182</v>
      </c>
      <c r="B2" s="5342" t="s">
        <v>14</v>
      </c>
      <c r="C2" s="5342" t="s">
        <v>2183</v>
      </c>
      <c r="D2" s="5342" t="s">
        <v>2184</v>
      </c>
      <c r="E2" s="5342" t="s">
        <v>2185</v>
      </c>
      <c r="F2" s="5342" t="s">
        <v>2186</v>
      </c>
      <c r="G2" s="5342" t="s">
        <v>24</v>
      </c>
      <c r="H2" s="5342" t="s">
        <v>24</v>
      </c>
      <c r="I2" s="5342" t="s">
        <v>709</v>
      </c>
    </row>
    <row customHeight="1" ht="11.25">
      <c r="A3" s="5342" t="s">
        <v>2182</v>
      </c>
      <c r="B3" s="5342" t="s">
        <v>14</v>
      </c>
      <c r="C3" s="5342" t="s">
        <v>2187</v>
      </c>
      <c r="D3" s="5342" t="s">
        <v>2188</v>
      </c>
      <c r="E3" s="5342" t="s">
        <v>2189</v>
      </c>
      <c r="F3" s="5342" t="s">
        <v>50</v>
      </c>
      <c r="G3" s="5342" t="s">
        <v>24</v>
      </c>
      <c r="H3" s="5342" t="s">
        <v>24</v>
      </c>
      <c r="I3" s="5342" t="s">
        <v>709</v>
      </c>
    </row>
    <row customHeight="1" ht="11.25">
      <c r="A4" s="5342" t="s">
        <v>2182</v>
      </c>
      <c r="B4" s="5342" t="s">
        <v>14</v>
      </c>
      <c r="C4" s="5342" t="s">
        <v>2190</v>
      </c>
      <c r="D4" s="5342" t="s">
        <v>2191</v>
      </c>
      <c r="E4" s="5342" t="s">
        <v>2192</v>
      </c>
      <c r="F4" s="5342" t="s">
        <v>2193</v>
      </c>
      <c r="G4" s="5342" t="s">
        <v>24</v>
      </c>
      <c r="H4" s="5342" t="s">
        <v>24</v>
      </c>
      <c r="I4" s="5342" t="s">
        <v>709</v>
      </c>
    </row>
    <row customHeight="1" ht="11.25">
      <c r="A5" s="5342" t="s">
        <v>2182</v>
      </c>
      <c r="B5" s="5342" t="s">
        <v>14</v>
      </c>
      <c r="C5" s="5342" t="s">
        <v>2194</v>
      </c>
      <c r="D5" s="5342" t="s">
        <v>2195</v>
      </c>
      <c r="E5" s="5342" t="s">
        <v>2196</v>
      </c>
      <c r="F5" s="5342" t="s">
        <v>2197</v>
      </c>
      <c r="G5" s="5342" t="s">
        <v>24</v>
      </c>
      <c r="H5" s="5342" t="s">
        <v>24</v>
      </c>
      <c r="I5" s="5342" t="s">
        <v>709</v>
      </c>
    </row>
    <row customHeight="1" ht="11.25">
      <c r="A6" s="5342" t="s">
        <v>2182</v>
      </c>
      <c r="B6" s="5342" t="s">
        <v>14</v>
      </c>
      <c r="C6" s="5342" t="s">
        <v>2198</v>
      </c>
      <c r="D6" s="5342" t="s">
        <v>2199</v>
      </c>
      <c r="E6" s="5342" t="s">
        <v>2200</v>
      </c>
      <c r="F6" s="5342" t="s">
        <v>2201</v>
      </c>
      <c r="G6" s="5342" t="s">
        <v>2202</v>
      </c>
      <c r="H6" s="5342" t="s">
        <v>24</v>
      </c>
      <c r="I6" s="5342" t="s">
        <v>709</v>
      </c>
    </row>
    <row customHeight="1" ht="11.25">
      <c r="A7" s="5342" t="s">
        <v>2182</v>
      </c>
      <c r="B7" s="5342" t="s">
        <v>14</v>
      </c>
      <c r="C7" s="5342" t="s">
        <v>2203</v>
      </c>
      <c r="D7" s="5342" t="s">
        <v>2204</v>
      </c>
      <c r="E7" s="5342" t="s">
        <v>2205</v>
      </c>
      <c r="F7" s="5342" t="s">
        <v>2206</v>
      </c>
      <c r="G7" s="5342" t="s">
        <v>24</v>
      </c>
      <c r="H7" s="5342" t="s">
        <v>24</v>
      </c>
      <c r="I7" s="5342" t="s">
        <v>709</v>
      </c>
    </row>
    <row customHeight="1" ht="11.25">
      <c r="A8" s="5342" t="s">
        <v>2182</v>
      </c>
      <c r="B8" s="5342" t="s">
        <v>14</v>
      </c>
      <c r="C8" s="5342" t="s">
        <v>2207</v>
      </c>
      <c r="D8" s="5342" t="s">
        <v>2208</v>
      </c>
      <c r="E8" s="5342" t="s">
        <v>2209</v>
      </c>
      <c r="F8" s="5342" t="s">
        <v>2210</v>
      </c>
      <c r="G8" s="5342" t="s">
        <v>2211</v>
      </c>
      <c r="H8" s="5342" t="s">
        <v>24</v>
      </c>
      <c r="I8" s="5342" t="s">
        <v>709</v>
      </c>
    </row>
    <row customHeight="1" ht="11.25">
      <c r="A9" s="5342" t="s">
        <v>2182</v>
      </c>
      <c r="B9" s="5342" t="s">
        <v>14</v>
      </c>
      <c r="C9" s="5342" t="s">
        <v>2212</v>
      </c>
      <c r="D9" s="5342" t="s">
        <v>2213</v>
      </c>
      <c r="E9" s="5342" t="s">
        <v>2214</v>
      </c>
      <c r="F9" s="5342" t="s">
        <v>2215</v>
      </c>
      <c r="G9" s="5342" t="s">
        <v>24</v>
      </c>
      <c r="H9" s="5342" t="s">
        <v>24</v>
      </c>
      <c r="I9" s="5342" t="s">
        <v>709</v>
      </c>
    </row>
    <row customHeight="1" ht="11.25">
      <c r="A10" s="5342" t="s">
        <v>2182</v>
      </c>
      <c r="B10" s="5342" t="s">
        <v>14</v>
      </c>
      <c r="C10" s="5342" t="s">
        <v>2216</v>
      </c>
      <c r="D10" s="5342" t="s">
        <v>2217</v>
      </c>
      <c r="E10" s="5342" t="s">
        <v>2218</v>
      </c>
      <c r="F10" s="5342" t="s">
        <v>2219</v>
      </c>
      <c r="G10" s="5342" t="s">
        <v>24</v>
      </c>
      <c r="H10" s="5342" t="s">
        <v>24</v>
      </c>
      <c r="I10" s="5342" t="s">
        <v>709</v>
      </c>
    </row>
    <row customHeight="1" ht="11.25">
      <c r="A11" s="5342" t="s">
        <v>2182</v>
      </c>
      <c r="B11" s="5342" t="s">
        <v>14</v>
      </c>
      <c r="C11" s="5342" t="s">
        <v>2220</v>
      </c>
      <c r="D11" s="5342" t="s">
        <v>2221</v>
      </c>
      <c r="E11" s="5342" t="s">
        <v>2222</v>
      </c>
      <c r="F11" s="5342" t="s">
        <v>2223</v>
      </c>
      <c r="G11" s="5342" t="s">
        <v>2224</v>
      </c>
      <c r="H11" s="5342" t="s">
        <v>24</v>
      </c>
      <c r="I11" s="5342" t="s">
        <v>709</v>
      </c>
    </row>
    <row customHeight="1" ht="11.25">
      <c r="A12" s="5342" t="s">
        <v>2182</v>
      </c>
      <c r="B12" s="5342" t="s">
        <v>14</v>
      </c>
      <c r="C12" s="5342" t="s">
        <v>2225</v>
      </c>
      <c r="D12" s="5342" t="s">
        <v>2226</v>
      </c>
      <c r="E12" s="5342" t="s">
        <v>2227</v>
      </c>
      <c r="F12" s="5342" t="s">
        <v>2228</v>
      </c>
      <c r="G12" s="5342" t="s">
        <v>24</v>
      </c>
      <c r="H12" s="5342" t="s">
        <v>24</v>
      </c>
      <c r="I12" s="5342" t="s">
        <v>709</v>
      </c>
    </row>
    <row customHeight="1" ht="11.25">
      <c r="A13" s="5342" t="s">
        <v>2182</v>
      </c>
      <c r="B13" s="5342" t="s">
        <v>14</v>
      </c>
      <c r="C13" s="5342" t="s">
        <v>2229</v>
      </c>
      <c r="D13" s="5342" t="s">
        <v>2230</v>
      </c>
      <c r="E13" s="5342" t="s">
        <v>2231</v>
      </c>
      <c r="F13" s="5342" t="s">
        <v>2232</v>
      </c>
      <c r="G13" s="5342" t="s">
        <v>24</v>
      </c>
      <c r="H13" s="5342" t="s">
        <v>24</v>
      </c>
      <c r="I13" s="5342" t="s">
        <v>709</v>
      </c>
    </row>
    <row customHeight="1" ht="11.25">
      <c r="A14" s="5342" t="s">
        <v>2182</v>
      </c>
      <c r="B14" s="5342" t="s">
        <v>14</v>
      </c>
      <c r="C14" s="5342" t="s">
        <v>2233</v>
      </c>
      <c r="D14" s="5342" t="s">
        <v>2234</v>
      </c>
      <c r="E14" s="5342" t="s">
        <v>2235</v>
      </c>
      <c r="F14" s="5342" t="s">
        <v>2236</v>
      </c>
      <c r="G14" s="5342" t="s">
        <v>24</v>
      </c>
      <c r="H14" s="5342" t="s">
        <v>24</v>
      </c>
      <c r="I14" s="5342" t="s">
        <v>709</v>
      </c>
    </row>
    <row customHeight="1" ht="11.25">
      <c r="A15" s="5342" t="s">
        <v>2182</v>
      </c>
      <c r="B15" s="5342" t="s">
        <v>14</v>
      </c>
      <c r="C15" s="5342" t="s">
        <v>2237</v>
      </c>
      <c r="D15" s="5342" t="s">
        <v>2238</v>
      </c>
      <c r="E15" s="5342" t="s">
        <v>2239</v>
      </c>
      <c r="F15" s="5342" t="s">
        <v>2240</v>
      </c>
      <c r="G15" s="5342" t="s">
        <v>24</v>
      </c>
      <c r="H15" s="5342" t="s">
        <v>24</v>
      </c>
      <c r="I15" s="5342" t="s">
        <v>709</v>
      </c>
    </row>
    <row customHeight="1" ht="11.25">
      <c r="A16" s="5342" t="s">
        <v>2182</v>
      </c>
      <c r="B16" s="5342" t="s">
        <v>14</v>
      </c>
      <c r="C16" s="5342" t="s">
        <v>2241</v>
      </c>
      <c r="D16" s="5342" t="s">
        <v>2242</v>
      </c>
      <c r="E16" s="5342" t="s">
        <v>2243</v>
      </c>
      <c r="F16" s="5342" t="s">
        <v>2244</v>
      </c>
      <c r="G16" s="5342" t="s">
        <v>2245</v>
      </c>
      <c r="H16" s="5342" t="s">
        <v>24</v>
      </c>
      <c r="I16" s="5342" t="s">
        <v>709</v>
      </c>
    </row>
    <row customHeight="1" ht="11.25">
      <c r="A17" s="5342" t="s">
        <v>2182</v>
      </c>
      <c r="B17" s="5342" t="s">
        <v>14</v>
      </c>
      <c r="C17" s="5342" t="s">
        <v>2246</v>
      </c>
      <c r="D17" s="5342" t="s">
        <v>2247</v>
      </c>
      <c r="E17" s="5342" t="s">
        <v>2248</v>
      </c>
      <c r="F17" s="5342" t="s">
        <v>2249</v>
      </c>
      <c r="G17" s="5342" t="s">
        <v>24</v>
      </c>
      <c r="H17" s="5342" t="s">
        <v>24</v>
      </c>
      <c r="I17" s="5342" t="s">
        <v>709</v>
      </c>
    </row>
    <row customHeight="1" ht="11.25">
      <c r="A18" s="5342" t="s">
        <v>2182</v>
      </c>
      <c r="B18" s="5342" t="s">
        <v>14</v>
      </c>
      <c r="C18" s="5342" t="s">
        <v>2250</v>
      </c>
      <c r="D18" s="5342" t="s">
        <v>2251</v>
      </c>
      <c r="E18" s="5342" t="s">
        <v>2252</v>
      </c>
      <c r="F18" s="5342" t="s">
        <v>2253</v>
      </c>
      <c r="G18" s="5342" t="s">
        <v>24</v>
      </c>
      <c r="H18" s="5342" t="s">
        <v>24</v>
      </c>
      <c r="I18" s="5342" t="s">
        <v>709</v>
      </c>
    </row>
    <row customHeight="1" ht="11.25">
      <c r="A19" s="5342" t="s">
        <v>2182</v>
      </c>
      <c r="B19" s="5342" t="s">
        <v>14</v>
      </c>
      <c r="C19" s="5342" t="s">
        <v>2254</v>
      </c>
      <c r="D19" s="5342" t="s">
        <v>2255</v>
      </c>
      <c r="E19" s="5342" t="s">
        <v>2243</v>
      </c>
      <c r="F19" s="5342" t="s">
        <v>2256</v>
      </c>
      <c r="G19" s="5342" t="s">
        <v>24</v>
      </c>
      <c r="H19" s="5342" t="s">
        <v>24</v>
      </c>
      <c r="I19" s="5342" t="s">
        <v>709</v>
      </c>
    </row>
    <row customHeight="1" ht="11.25">
      <c r="A20" s="5342" t="s">
        <v>2182</v>
      </c>
      <c r="B20" s="5342" t="s">
        <v>14</v>
      </c>
      <c r="C20" s="5342" t="s">
        <v>2257</v>
      </c>
      <c r="D20" s="5342" t="s">
        <v>2258</v>
      </c>
      <c r="E20" s="5342" t="s">
        <v>2259</v>
      </c>
      <c r="F20" s="5342" t="s">
        <v>2260</v>
      </c>
      <c r="G20" s="5342" t="s">
        <v>24</v>
      </c>
      <c r="H20" s="5342" t="s">
        <v>24</v>
      </c>
      <c r="I20" s="5342" t="s">
        <v>709</v>
      </c>
    </row>
    <row customHeight="1" ht="11.25">
      <c r="A21" s="5342" t="s">
        <v>2182</v>
      </c>
      <c r="B21" s="5342" t="s">
        <v>14</v>
      </c>
      <c r="C21" s="5342" t="s">
        <v>2261</v>
      </c>
      <c r="D21" s="5342" t="s">
        <v>2262</v>
      </c>
      <c r="E21" s="5342" t="s">
        <v>2263</v>
      </c>
      <c r="F21" s="5342" t="s">
        <v>2240</v>
      </c>
      <c r="G21" s="5342" t="s">
        <v>24</v>
      </c>
      <c r="H21" s="5342" t="s">
        <v>24</v>
      </c>
      <c r="I21" s="5342" t="s">
        <v>709</v>
      </c>
    </row>
    <row customHeight="1" ht="11.25">
      <c r="A22" s="5342" t="s">
        <v>2182</v>
      </c>
      <c r="B22" s="5342" t="s">
        <v>14</v>
      </c>
      <c r="C22" s="5342" t="s">
        <v>2264</v>
      </c>
      <c r="D22" s="5342" t="s">
        <v>2265</v>
      </c>
      <c r="E22" s="5342" t="s">
        <v>2266</v>
      </c>
      <c r="F22" s="5342" t="s">
        <v>50</v>
      </c>
      <c r="G22" s="5342" t="s">
        <v>2267</v>
      </c>
      <c r="H22" s="5342" t="s">
        <v>24</v>
      </c>
      <c r="I22" s="5342" t="s">
        <v>709</v>
      </c>
    </row>
    <row customHeight="1" ht="11.25">
      <c r="A23" s="5342" t="s">
        <v>2182</v>
      </c>
      <c r="B23" s="5342" t="s">
        <v>14</v>
      </c>
      <c r="C23" s="5342" t="s">
        <v>2268</v>
      </c>
      <c r="D23" s="5342" t="s">
        <v>2269</v>
      </c>
      <c r="E23" s="5342" t="s">
        <v>2270</v>
      </c>
      <c r="F23" s="5342" t="s">
        <v>2271</v>
      </c>
      <c r="G23" s="5342" t="s">
        <v>24</v>
      </c>
      <c r="H23" s="5342" t="s">
        <v>24</v>
      </c>
      <c r="I23" s="5342" t="s">
        <v>709</v>
      </c>
    </row>
    <row customHeight="1" ht="11.25">
      <c r="A24" s="5342" t="s">
        <v>2182</v>
      </c>
      <c r="B24" s="5342" t="s">
        <v>14</v>
      </c>
      <c r="C24" s="5342" t="s">
        <v>2272</v>
      </c>
      <c r="D24" s="5342" t="s">
        <v>2273</v>
      </c>
      <c r="E24" s="5342" t="s">
        <v>2274</v>
      </c>
      <c r="F24" s="5342" t="s">
        <v>2228</v>
      </c>
      <c r="G24" s="5342" t="s">
        <v>24</v>
      </c>
      <c r="H24" s="5342" t="s">
        <v>24</v>
      </c>
      <c r="I24" s="5342" t="s">
        <v>709</v>
      </c>
    </row>
    <row customHeight="1" ht="11.25">
      <c r="A25" s="5342" t="s">
        <v>2182</v>
      </c>
      <c r="B25" s="5342" t="s">
        <v>14</v>
      </c>
      <c r="C25" s="5342" t="s">
        <v>2275</v>
      </c>
      <c r="D25" s="5342" t="s">
        <v>2276</v>
      </c>
      <c r="E25" s="5342" t="s">
        <v>2277</v>
      </c>
      <c r="F25" s="5342" t="s">
        <v>2278</v>
      </c>
      <c r="G25" s="5342" t="s">
        <v>24</v>
      </c>
      <c r="H25" s="5342" t="s">
        <v>24</v>
      </c>
      <c r="I25" s="5342" t="s">
        <v>709</v>
      </c>
    </row>
    <row customHeight="1" ht="11.25">
      <c r="A26" s="5342" t="s">
        <v>2182</v>
      </c>
      <c r="B26" s="5342" t="s">
        <v>14</v>
      </c>
      <c r="C26" s="5342" t="s">
        <v>2279</v>
      </c>
      <c r="D26" s="5342" t="s">
        <v>2280</v>
      </c>
      <c r="E26" s="5342" t="s">
        <v>2281</v>
      </c>
      <c r="F26" s="5342" t="s">
        <v>2228</v>
      </c>
      <c r="G26" s="5342" t="s">
        <v>24</v>
      </c>
      <c r="H26" s="5342" t="s">
        <v>24</v>
      </c>
      <c r="I26" s="5342" t="s">
        <v>709</v>
      </c>
    </row>
    <row customHeight="1" ht="11.25">
      <c r="A27" s="5342" t="s">
        <v>2182</v>
      </c>
      <c r="B27" s="5342" t="s">
        <v>14</v>
      </c>
      <c r="C27" s="5342" t="s">
        <v>2282</v>
      </c>
      <c r="D27" s="5342" t="s">
        <v>2283</v>
      </c>
      <c r="E27" s="5342" t="s">
        <v>2284</v>
      </c>
      <c r="F27" s="5342" t="s">
        <v>2236</v>
      </c>
      <c r="G27" s="5342" t="s">
        <v>24</v>
      </c>
      <c r="H27" s="5342" t="s">
        <v>24</v>
      </c>
      <c r="I27" s="5342" t="s">
        <v>709</v>
      </c>
    </row>
    <row customHeight="1" ht="11.25">
      <c r="A28" s="5342" t="s">
        <v>2182</v>
      </c>
      <c r="B28" s="5342" t="s">
        <v>14</v>
      </c>
      <c r="C28" s="5342" t="s">
        <v>2285</v>
      </c>
      <c r="D28" s="5342" t="s">
        <v>2286</v>
      </c>
      <c r="E28" s="5342" t="s">
        <v>2287</v>
      </c>
      <c r="F28" s="5342" t="s">
        <v>2236</v>
      </c>
      <c r="G28" s="5342" t="s">
        <v>24</v>
      </c>
      <c r="H28" s="5342" t="s">
        <v>24</v>
      </c>
      <c r="I28" s="5342" t="s">
        <v>709</v>
      </c>
    </row>
    <row customHeight="1" ht="11.25">
      <c r="A29" s="5342" t="s">
        <v>2182</v>
      </c>
      <c r="B29" s="5342" t="s">
        <v>14</v>
      </c>
      <c r="C29" s="5342" t="s">
        <v>2288</v>
      </c>
      <c r="D29" s="5342" t="s">
        <v>2289</v>
      </c>
      <c r="E29" s="5342" t="s">
        <v>2290</v>
      </c>
      <c r="F29" s="5342" t="s">
        <v>2228</v>
      </c>
      <c r="G29" s="5342" t="s">
        <v>24</v>
      </c>
      <c r="H29" s="5342" t="s">
        <v>24</v>
      </c>
      <c r="I29" s="5342" t="s">
        <v>709</v>
      </c>
    </row>
    <row customHeight="1" ht="11.25">
      <c r="A30" s="5342" t="s">
        <v>2182</v>
      </c>
      <c r="B30" s="5342" t="s">
        <v>14</v>
      </c>
      <c r="C30" s="5342" t="s">
        <v>2291</v>
      </c>
      <c r="D30" s="5342" t="s">
        <v>2292</v>
      </c>
      <c r="E30" s="5342" t="s">
        <v>2293</v>
      </c>
      <c r="F30" s="5342" t="s">
        <v>2294</v>
      </c>
      <c r="G30" s="5342" t="s">
        <v>24</v>
      </c>
      <c r="H30" s="5342" t="s">
        <v>24</v>
      </c>
      <c r="I30" s="5342" t="s">
        <v>709</v>
      </c>
    </row>
    <row customHeight="1" ht="11.25">
      <c r="A31" s="5342" t="s">
        <v>2182</v>
      </c>
      <c r="B31" s="5342" t="s">
        <v>14</v>
      </c>
      <c r="C31" s="5342" t="s">
        <v>2295</v>
      </c>
      <c r="D31" s="5342" t="s">
        <v>2296</v>
      </c>
      <c r="E31" s="5342" t="s">
        <v>2297</v>
      </c>
      <c r="F31" s="5342" t="s">
        <v>50</v>
      </c>
      <c r="G31" s="5342" t="s">
        <v>24</v>
      </c>
      <c r="H31" s="5342" t="s">
        <v>24</v>
      </c>
      <c r="I31" s="5342" t="s">
        <v>709</v>
      </c>
    </row>
    <row customHeight="1" ht="11.25">
      <c r="A32" s="5342" t="s">
        <v>2182</v>
      </c>
      <c r="B32" s="5342" t="s">
        <v>14</v>
      </c>
      <c r="C32" s="5342" t="s">
        <v>2298</v>
      </c>
      <c r="D32" s="5342" t="s">
        <v>2299</v>
      </c>
      <c r="E32" s="5342" t="s">
        <v>2300</v>
      </c>
      <c r="F32" s="5342" t="s">
        <v>2301</v>
      </c>
      <c r="G32" s="5342" t="s">
        <v>24</v>
      </c>
      <c r="H32" s="5342" t="s">
        <v>24</v>
      </c>
      <c r="I32" s="5342" t="s">
        <v>709</v>
      </c>
    </row>
    <row customHeight="1" ht="11.25">
      <c r="A33" s="5342" t="s">
        <v>2182</v>
      </c>
      <c r="B33" s="5342" t="s">
        <v>14</v>
      </c>
      <c r="C33" s="5342" t="s">
        <v>2302</v>
      </c>
      <c r="D33" s="5342" t="s">
        <v>2303</v>
      </c>
      <c r="E33" s="5342" t="s">
        <v>2304</v>
      </c>
      <c r="F33" s="5342" t="s">
        <v>2305</v>
      </c>
      <c r="G33" s="5342" t="s">
        <v>24</v>
      </c>
      <c r="H33" s="5342" t="s">
        <v>24</v>
      </c>
      <c r="I33" s="5342" t="s">
        <v>709</v>
      </c>
    </row>
    <row customHeight="1" ht="11.25">
      <c r="A34" s="5342" t="s">
        <v>2182</v>
      </c>
      <c r="B34" s="5342" t="s">
        <v>14</v>
      </c>
      <c r="C34" s="5342" t="s">
        <v>2306</v>
      </c>
      <c r="D34" s="5342" t="s">
        <v>2307</v>
      </c>
      <c r="E34" s="5342" t="s">
        <v>2308</v>
      </c>
      <c r="F34" s="5342" t="s">
        <v>2309</v>
      </c>
      <c r="G34" s="5342" t="s">
        <v>24</v>
      </c>
      <c r="H34" s="5342" t="s">
        <v>24</v>
      </c>
      <c r="I34" s="5342" t="s">
        <v>709</v>
      </c>
    </row>
    <row customHeight="1" ht="11.25">
      <c r="A35" s="5342" t="s">
        <v>2182</v>
      </c>
      <c r="B35" s="5342" t="s">
        <v>14</v>
      </c>
      <c r="C35" s="5342" t="s">
        <v>2310</v>
      </c>
      <c r="D35" s="5342" t="s">
        <v>2311</v>
      </c>
      <c r="E35" s="5342" t="s">
        <v>2312</v>
      </c>
      <c r="F35" s="5342" t="s">
        <v>2313</v>
      </c>
      <c r="G35" s="5342" t="s">
        <v>24</v>
      </c>
      <c r="H35" s="5342" t="s">
        <v>24</v>
      </c>
      <c r="I35" s="5342" t="s">
        <v>709</v>
      </c>
    </row>
    <row customHeight="1" ht="11.25">
      <c r="A36" s="5342" t="s">
        <v>2182</v>
      </c>
      <c r="B36" s="5342" t="s">
        <v>14</v>
      </c>
      <c r="C36" s="5342" t="s">
        <v>2314</v>
      </c>
      <c r="D36" s="5342" t="s">
        <v>2315</v>
      </c>
      <c r="E36" s="5342" t="s">
        <v>2316</v>
      </c>
      <c r="F36" s="5342" t="s">
        <v>2317</v>
      </c>
      <c r="G36" s="5342" t="s">
        <v>24</v>
      </c>
      <c r="H36" s="5342" t="s">
        <v>24</v>
      </c>
      <c r="I36" s="5342" t="s">
        <v>709</v>
      </c>
    </row>
    <row customHeight="1" ht="11.25">
      <c r="A37" s="5342" t="s">
        <v>2182</v>
      </c>
      <c r="B37" s="5342" t="s">
        <v>14</v>
      </c>
      <c r="C37" s="5342" t="s">
        <v>2318</v>
      </c>
      <c r="D37" s="5342" t="s">
        <v>2319</v>
      </c>
      <c r="E37" s="5342" t="s">
        <v>2320</v>
      </c>
      <c r="F37" s="5342" t="s">
        <v>2321</v>
      </c>
      <c r="G37" s="5342" t="s">
        <v>24</v>
      </c>
      <c r="H37" s="5342" t="s">
        <v>24</v>
      </c>
      <c r="I37" s="5342" t="s">
        <v>709</v>
      </c>
    </row>
    <row customHeight="1" ht="11.25">
      <c r="A38" s="5342" t="s">
        <v>2182</v>
      </c>
      <c r="B38" s="5342" t="s">
        <v>14</v>
      </c>
      <c r="C38" s="5342" t="s">
        <v>2322</v>
      </c>
      <c r="D38" s="5342" t="s">
        <v>2323</v>
      </c>
      <c r="E38" s="5342" t="s">
        <v>2324</v>
      </c>
      <c r="F38" s="5342" t="s">
        <v>2240</v>
      </c>
      <c r="G38" s="5342" t="s">
        <v>2325</v>
      </c>
      <c r="H38" s="5342" t="s">
        <v>24</v>
      </c>
      <c r="I38" s="5342" t="s">
        <v>709</v>
      </c>
    </row>
    <row customHeight="1" ht="11.25">
      <c r="A39" s="5342" t="s">
        <v>2182</v>
      </c>
      <c r="B39" s="5342" t="s">
        <v>14</v>
      </c>
      <c r="C39" s="5342" t="s">
        <v>2326</v>
      </c>
      <c r="D39" s="5342" t="s">
        <v>2327</v>
      </c>
      <c r="E39" s="5342" t="s">
        <v>2328</v>
      </c>
      <c r="F39" s="5342" t="s">
        <v>2301</v>
      </c>
      <c r="G39" s="5342" t="s">
        <v>2329</v>
      </c>
      <c r="H39" s="5342" t="s">
        <v>24</v>
      </c>
      <c r="I39" s="5342" t="s">
        <v>709</v>
      </c>
    </row>
    <row customHeight="1" ht="11.25">
      <c r="A40" s="5342" t="s">
        <v>2182</v>
      </c>
      <c r="B40" s="5342" t="s">
        <v>14</v>
      </c>
      <c r="C40" s="5342" t="s">
        <v>2330</v>
      </c>
      <c r="D40" s="5342" t="s">
        <v>2331</v>
      </c>
      <c r="E40" s="5342" t="s">
        <v>2332</v>
      </c>
      <c r="F40" s="5342" t="s">
        <v>2294</v>
      </c>
      <c r="G40" s="5342" t="s">
        <v>2333</v>
      </c>
      <c r="H40" s="5342" t="s">
        <v>24</v>
      </c>
      <c r="I40" s="5342" t="s">
        <v>709</v>
      </c>
    </row>
    <row customHeight="1" ht="11.25">
      <c r="A41" s="5342" t="s">
        <v>2182</v>
      </c>
      <c r="B41" s="5342" t="s">
        <v>14</v>
      </c>
      <c r="C41" s="5342" t="s">
        <v>2334</v>
      </c>
      <c r="D41" s="5342" t="s">
        <v>2335</v>
      </c>
      <c r="E41" s="5342" t="s">
        <v>2336</v>
      </c>
      <c r="F41" s="5342" t="s">
        <v>2240</v>
      </c>
      <c r="G41" s="5342" t="s">
        <v>24</v>
      </c>
      <c r="H41" s="5342" t="s">
        <v>24</v>
      </c>
      <c r="I41" s="5342" t="s">
        <v>709</v>
      </c>
    </row>
    <row customHeight="1" ht="11.25">
      <c r="A42" s="5342" t="s">
        <v>2182</v>
      </c>
      <c r="B42" s="5342" t="s">
        <v>14</v>
      </c>
      <c r="C42" s="5342" t="s">
        <v>2337</v>
      </c>
      <c r="D42" s="5342" t="s">
        <v>2338</v>
      </c>
      <c r="E42" s="5342" t="s">
        <v>2339</v>
      </c>
      <c r="F42" s="5342" t="s">
        <v>2317</v>
      </c>
      <c r="G42" s="5342" t="s">
        <v>24</v>
      </c>
      <c r="H42" s="5342" t="s">
        <v>24</v>
      </c>
      <c r="I42" s="5342" t="s">
        <v>709</v>
      </c>
    </row>
    <row customHeight="1" ht="11.25">
      <c r="A43" s="5342" t="s">
        <v>2182</v>
      </c>
      <c r="B43" s="5342" t="s">
        <v>14</v>
      </c>
      <c r="C43" s="5342" t="s">
        <v>2340</v>
      </c>
      <c r="D43" s="5342" t="s">
        <v>2341</v>
      </c>
      <c r="E43" s="5342" t="s">
        <v>2342</v>
      </c>
      <c r="F43" s="5342" t="s">
        <v>2343</v>
      </c>
      <c r="G43" s="5342" t="s">
        <v>24</v>
      </c>
      <c r="H43" s="5342" t="s">
        <v>24</v>
      </c>
      <c r="I43" s="5342" t="s">
        <v>709</v>
      </c>
    </row>
    <row customHeight="1" ht="11.25">
      <c r="A44" s="5342" t="s">
        <v>2182</v>
      </c>
      <c r="B44" s="5342" t="s">
        <v>14</v>
      </c>
      <c r="C44" s="5342" t="s">
        <v>2344</v>
      </c>
      <c r="D44" s="5342" t="s">
        <v>2345</v>
      </c>
      <c r="E44" s="5342" t="s">
        <v>2346</v>
      </c>
      <c r="F44" s="5342" t="s">
        <v>2301</v>
      </c>
      <c r="G44" s="5342" t="s">
        <v>2347</v>
      </c>
      <c r="H44" s="5342" t="s">
        <v>24</v>
      </c>
      <c r="I44" s="5342" t="s">
        <v>709</v>
      </c>
    </row>
    <row customHeight="1" ht="11.25">
      <c r="A45" s="5342" t="s">
        <v>2182</v>
      </c>
      <c r="B45" s="5342" t="s">
        <v>14</v>
      </c>
      <c r="C45" s="5342" t="s">
        <v>2348</v>
      </c>
      <c r="D45" s="5342" t="s">
        <v>2349</v>
      </c>
      <c r="E45" s="5342" t="s">
        <v>2350</v>
      </c>
      <c r="F45" s="5342" t="s">
        <v>2351</v>
      </c>
      <c r="G45" s="5342" t="s">
        <v>24</v>
      </c>
      <c r="H45" s="5342" t="s">
        <v>24</v>
      </c>
      <c r="I45" s="5342" t="s">
        <v>709</v>
      </c>
    </row>
    <row customHeight="1" ht="11.25">
      <c r="A46" s="5342" t="s">
        <v>2182</v>
      </c>
      <c r="B46" s="5342" t="s">
        <v>14</v>
      </c>
      <c r="C46" s="5342" t="s">
        <v>2352</v>
      </c>
      <c r="D46" s="5342" t="s">
        <v>2353</v>
      </c>
      <c r="E46" s="5342" t="s">
        <v>2354</v>
      </c>
      <c r="F46" s="5342" t="s">
        <v>2343</v>
      </c>
      <c r="G46" s="5342" t="s">
        <v>2355</v>
      </c>
      <c r="H46" s="5342" t="s">
        <v>24</v>
      </c>
      <c r="I46" s="5342" t="s">
        <v>709</v>
      </c>
    </row>
    <row customHeight="1" ht="11.25">
      <c r="A47" s="5342" t="s">
        <v>2182</v>
      </c>
      <c r="B47" s="5342" t="s">
        <v>14</v>
      </c>
      <c r="C47" s="5342" t="s">
        <v>2356</v>
      </c>
      <c r="D47" s="5342" t="s">
        <v>2357</v>
      </c>
      <c r="E47" s="5342" t="s">
        <v>2358</v>
      </c>
      <c r="F47" s="5342" t="s">
        <v>2271</v>
      </c>
      <c r="G47" s="5342" t="s">
        <v>24</v>
      </c>
      <c r="H47" s="5342" t="s">
        <v>24</v>
      </c>
      <c r="I47" s="5342" t="s">
        <v>709</v>
      </c>
    </row>
    <row customHeight="1" ht="11.25">
      <c r="A48" s="5342" t="s">
        <v>2182</v>
      </c>
      <c r="B48" s="5342" t="s">
        <v>14</v>
      </c>
      <c r="C48" s="5342" t="s">
        <v>2359</v>
      </c>
      <c r="D48" s="5342" t="s">
        <v>2360</v>
      </c>
      <c r="E48" s="5342" t="s">
        <v>2361</v>
      </c>
      <c r="F48" s="5342" t="s">
        <v>2362</v>
      </c>
      <c r="G48" s="5342" t="s">
        <v>24</v>
      </c>
      <c r="H48" s="5342" t="s">
        <v>24</v>
      </c>
      <c r="I48" s="5342" t="s">
        <v>709</v>
      </c>
    </row>
    <row customHeight="1" ht="11.25">
      <c r="A49" s="5342" t="s">
        <v>2182</v>
      </c>
      <c r="B49" s="5342" t="s">
        <v>14</v>
      </c>
      <c r="C49" s="5342" t="s">
        <v>2363</v>
      </c>
      <c r="D49" s="5342" t="s">
        <v>2364</v>
      </c>
      <c r="E49" s="5342" t="s">
        <v>2365</v>
      </c>
      <c r="F49" s="5342" t="s">
        <v>2317</v>
      </c>
      <c r="G49" s="5342" t="s">
        <v>2366</v>
      </c>
      <c r="H49" s="5342" t="s">
        <v>24</v>
      </c>
      <c r="I49" s="5342" t="s">
        <v>709</v>
      </c>
    </row>
    <row customHeight="1" ht="11.25">
      <c r="A50" s="5342" t="s">
        <v>2182</v>
      </c>
      <c r="B50" s="5342" t="s">
        <v>14</v>
      </c>
      <c r="C50" s="5342" t="s">
        <v>2367</v>
      </c>
      <c r="D50" s="5342" t="s">
        <v>2368</v>
      </c>
      <c r="E50" s="5342" t="s">
        <v>2369</v>
      </c>
      <c r="F50" s="5342" t="s">
        <v>2240</v>
      </c>
      <c r="G50" s="5342" t="s">
        <v>24</v>
      </c>
      <c r="H50" s="5342" t="s">
        <v>24</v>
      </c>
      <c r="I50" s="5342" t="s">
        <v>709</v>
      </c>
    </row>
    <row customHeight="1" ht="11.25">
      <c r="A51" s="5342" t="s">
        <v>2182</v>
      </c>
      <c r="B51" s="5342" t="s">
        <v>14</v>
      </c>
      <c r="C51" s="5342" t="s">
        <v>2370</v>
      </c>
      <c r="D51" s="5342" t="s">
        <v>2371</v>
      </c>
      <c r="E51" s="5342" t="s">
        <v>2372</v>
      </c>
      <c r="F51" s="5342" t="s">
        <v>2373</v>
      </c>
      <c r="G51" s="5342" t="s">
        <v>24</v>
      </c>
      <c r="H51" s="5342" t="s">
        <v>24</v>
      </c>
      <c r="I51" s="5342" t="s">
        <v>709</v>
      </c>
    </row>
    <row customHeight="1" ht="11.25">
      <c r="A52" s="5342" t="s">
        <v>2182</v>
      </c>
      <c r="B52" s="5342" t="s">
        <v>14</v>
      </c>
      <c r="C52" s="5342" t="s">
        <v>2374</v>
      </c>
      <c r="D52" s="5342" t="s">
        <v>2375</v>
      </c>
      <c r="E52" s="5342" t="s">
        <v>2376</v>
      </c>
      <c r="F52" s="5342" t="s">
        <v>2377</v>
      </c>
      <c r="G52" s="5342" t="s">
        <v>24</v>
      </c>
      <c r="H52" s="5342" t="s">
        <v>24</v>
      </c>
      <c r="I52" s="5342" t="s">
        <v>709</v>
      </c>
    </row>
    <row customHeight="1" ht="11.25">
      <c r="A53" s="5342" t="s">
        <v>2182</v>
      </c>
      <c r="B53" s="5342" t="s">
        <v>14</v>
      </c>
      <c r="C53" s="5342" t="s">
        <v>2378</v>
      </c>
      <c r="D53" s="5342" t="s">
        <v>2379</v>
      </c>
      <c r="E53" s="5342" t="s">
        <v>2380</v>
      </c>
      <c r="F53" s="5342" t="s">
        <v>2240</v>
      </c>
      <c r="G53" s="5342" t="s">
        <v>24</v>
      </c>
      <c r="H53" s="5342" t="s">
        <v>24</v>
      </c>
      <c r="I53" s="5342" t="s">
        <v>709</v>
      </c>
    </row>
    <row customHeight="1" ht="11.25">
      <c r="A54" s="5342" t="s">
        <v>2182</v>
      </c>
      <c r="B54" s="5342" t="s">
        <v>14</v>
      </c>
      <c r="C54" s="5342" t="s">
        <v>2381</v>
      </c>
      <c r="D54" s="5342" t="s">
        <v>2382</v>
      </c>
      <c r="E54" s="5342" t="s">
        <v>2383</v>
      </c>
      <c r="F54" s="5342" t="s">
        <v>2240</v>
      </c>
      <c r="G54" s="5342" t="s">
        <v>24</v>
      </c>
      <c r="H54" s="5342" t="s">
        <v>24</v>
      </c>
      <c r="I54" s="5342" t="s">
        <v>709</v>
      </c>
    </row>
    <row customHeight="1" ht="11.25">
      <c r="A55" s="5342" t="s">
        <v>2182</v>
      </c>
      <c r="B55" s="5342" t="s">
        <v>14</v>
      </c>
      <c r="C55" s="5342" t="s">
        <v>2384</v>
      </c>
      <c r="D55" s="5342" t="s">
        <v>2385</v>
      </c>
      <c r="E55" s="5342" t="s">
        <v>2386</v>
      </c>
      <c r="F55" s="5342" t="s">
        <v>2223</v>
      </c>
      <c r="G55" s="5342" t="s">
        <v>24</v>
      </c>
      <c r="H55" s="5342" t="s">
        <v>24</v>
      </c>
      <c r="I55" s="5342" t="s">
        <v>709</v>
      </c>
    </row>
    <row customHeight="1" ht="11.25">
      <c r="A56" s="5342" t="s">
        <v>2182</v>
      </c>
      <c r="B56" s="5342" t="s">
        <v>14</v>
      </c>
      <c r="C56" s="5342" t="s">
        <v>2387</v>
      </c>
      <c r="D56" s="5342" t="s">
        <v>2388</v>
      </c>
      <c r="E56" s="5342" t="s">
        <v>2389</v>
      </c>
      <c r="F56" s="5342" t="s">
        <v>2390</v>
      </c>
      <c r="G56" s="5342" t="s">
        <v>24</v>
      </c>
      <c r="H56" s="5342" t="s">
        <v>24</v>
      </c>
      <c r="I56" s="5342" t="s">
        <v>709</v>
      </c>
    </row>
    <row customHeight="1" ht="11.25">
      <c r="A57" s="5342" t="s">
        <v>2182</v>
      </c>
      <c r="B57" s="5342" t="s">
        <v>14</v>
      </c>
      <c r="C57" s="5342" t="s">
        <v>2391</v>
      </c>
      <c r="D57" s="5342" t="s">
        <v>2392</v>
      </c>
      <c r="E57" s="5342" t="s">
        <v>2393</v>
      </c>
      <c r="F57" s="5342" t="s">
        <v>2394</v>
      </c>
      <c r="G57" s="5342" t="s">
        <v>24</v>
      </c>
      <c r="H57" s="5342" t="s">
        <v>24</v>
      </c>
      <c r="I57" s="5342" t="s">
        <v>709</v>
      </c>
    </row>
    <row customHeight="1" ht="11.25">
      <c r="A58" s="5342" t="s">
        <v>2182</v>
      </c>
      <c r="B58" s="5342" t="s">
        <v>14</v>
      </c>
      <c r="C58" s="5342" t="s">
        <v>2395</v>
      </c>
      <c r="D58" s="5342" t="s">
        <v>2396</v>
      </c>
      <c r="E58" s="5342" t="s">
        <v>2397</v>
      </c>
      <c r="F58" s="5342" t="s">
        <v>2398</v>
      </c>
      <c r="G58" s="5342" t="s">
        <v>24</v>
      </c>
      <c r="H58" s="5342" t="s">
        <v>24</v>
      </c>
      <c r="I58" s="5342" t="s">
        <v>709</v>
      </c>
    </row>
    <row customHeight="1" ht="11.25">
      <c r="A59" s="5342" t="s">
        <v>2182</v>
      </c>
      <c r="B59" s="5342" t="s">
        <v>14</v>
      </c>
      <c r="C59" s="5342" t="s">
        <v>2399</v>
      </c>
      <c r="D59" s="5342" t="s">
        <v>2400</v>
      </c>
      <c r="E59" s="5342" t="s">
        <v>2401</v>
      </c>
      <c r="F59" s="5342" t="s">
        <v>2402</v>
      </c>
      <c r="G59" s="5342" t="s">
        <v>24</v>
      </c>
      <c r="H59" s="5342" t="s">
        <v>24</v>
      </c>
      <c r="I59" s="5342" t="s">
        <v>709</v>
      </c>
    </row>
    <row customHeight="1" ht="11.25">
      <c r="A60" s="5342" t="s">
        <v>2182</v>
      </c>
      <c r="B60" s="5342" t="s">
        <v>14</v>
      </c>
      <c r="C60" s="5342" t="s">
        <v>2403</v>
      </c>
      <c r="D60" s="5342" t="s">
        <v>2404</v>
      </c>
      <c r="E60" s="5342" t="s">
        <v>2405</v>
      </c>
      <c r="F60" s="5342" t="s">
        <v>2406</v>
      </c>
      <c r="G60" s="5342" t="s">
        <v>24</v>
      </c>
      <c r="H60" s="5342" t="s">
        <v>24</v>
      </c>
      <c r="I60" s="5342" t="s">
        <v>709</v>
      </c>
    </row>
    <row customHeight="1" ht="11.25">
      <c r="A61" s="5342" t="s">
        <v>2182</v>
      </c>
      <c r="B61" s="5342" t="s">
        <v>14</v>
      </c>
      <c r="C61" s="5342" t="s">
        <v>2407</v>
      </c>
      <c r="D61" s="5342" t="s">
        <v>2408</v>
      </c>
      <c r="E61" s="5342" t="s">
        <v>2409</v>
      </c>
      <c r="F61" s="5342" t="s">
        <v>2410</v>
      </c>
      <c r="G61" s="5342" t="s">
        <v>24</v>
      </c>
      <c r="H61" s="5342" t="s">
        <v>24</v>
      </c>
      <c r="I61" s="5342" t="s">
        <v>709</v>
      </c>
    </row>
    <row customHeight="1" ht="11.25">
      <c r="A62" s="5342" t="s">
        <v>2182</v>
      </c>
      <c r="B62" s="5342" t="s">
        <v>14</v>
      </c>
      <c r="C62" s="5342" t="s">
        <v>2411</v>
      </c>
      <c r="D62" s="5342" t="s">
        <v>2412</v>
      </c>
      <c r="E62" s="5342" t="s">
        <v>2413</v>
      </c>
      <c r="F62" s="5342" t="s">
        <v>2414</v>
      </c>
      <c r="G62" s="5342" t="s">
        <v>24</v>
      </c>
      <c r="H62" s="5342" t="s">
        <v>24</v>
      </c>
      <c r="I62" s="5342" t="s">
        <v>709</v>
      </c>
    </row>
    <row customHeight="1" ht="11.25">
      <c r="A63" s="5342" t="s">
        <v>2182</v>
      </c>
      <c r="B63" s="5342" t="s">
        <v>14</v>
      </c>
      <c r="C63" s="5342" t="s">
        <v>2415</v>
      </c>
      <c r="D63" s="5342" t="s">
        <v>45</v>
      </c>
      <c r="E63" s="5342" t="s">
        <v>48</v>
      </c>
      <c r="F63" s="5342" t="s">
        <v>50</v>
      </c>
      <c r="G63" s="5342" t="s">
        <v>24</v>
      </c>
      <c r="H63" s="5342" t="s">
        <v>24</v>
      </c>
      <c r="I63" s="5342" t="s">
        <v>709</v>
      </c>
    </row>
    <row customHeight="1" ht="11.25">
      <c r="A64" s="5342" t="s">
        <v>2182</v>
      </c>
      <c r="B64" s="5342" t="s">
        <v>14</v>
      </c>
      <c r="C64" s="5342" t="s">
        <v>2416</v>
      </c>
      <c r="D64" s="5342" t="s">
        <v>2417</v>
      </c>
      <c r="E64" s="5342" t="s">
        <v>2418</v>
      </c>
      <c r="F64" s="5342" t="s">
        <v>2419</v>
      </c>
      <c r="G64" s="5342" t="s">
        <v>24</v>
      </c>
      <c r="H64" s="5342" t="s">
        <v>24</v>
      </c>
      <c r="I64" s="5342" t="s">
        <v>709</v>
      </c>
    </row>
    <row customHeight="1" ht="11.25">
      <c r="A65" s="5342" t="s">
        <v>2182</v>
      </c>
      <c r="B65" s="5342" t="s">
        <v>14</v>
      </c>
      <c r="C65" s="5342" t="s">
        <v>2420</v>
      </c>
      <c r="D65" s="5342" t="s">
        <v>2421</v>
      </c>
      <c r="E65" s="5342" t="s">
        <v>2422</v>
      </c>
      <c r="F65" s="5342" t="s">
        <v>2423</v>
      </c>
      <c r="G65" s="5342" t="s">
        <v>24</v>
      </c>
      <c r="H65" s="5342" t="s">
        <v>24</v>
      </c>
      <c r="I65" s="5342" t="s">
        <v>709</v>
      </c>
    </row>
    <row customHeight="1" ht="11.25">
      <c r="A66" s="5342" t="s">
        <v>2182</v>
      </c>
      <c r="B66" s="5342" t="s">
        <v>14</v>
      </c>
      <c r="C66" s="5342" t="s">
        <v>2424</v>
      </c>
      <c r="D66" s="5342" t="s">
        <v>2425</v>
      </c>
      <c r="E66" s="5342" t="s">
        <v>2426</v>
      </c>
      <c r="F66" s="5342" t="s">
        <v>2271</v>
      </c>
      <c r="G66" s="5342" t="s">
        <v>24</v>
      </c>
      <c r="H66" s="5342" t="s">
        <v>24</v>
      </c>
      <c r="I66" s="5342" t="s">
        <v>709</v>
      </c>
    </row>
    <row customHeight="1" ht="11.25">
      <c r="A67" s="5342" t="s">
        <v>2182</v>
      </c>
      <c r="B67" s="5342" t="s">
        <v>14</v>
      </c>
      <c r="C67" s="5342" t="s">
        <v>2427</v>
      </c>
      <c r="D67" s="5342" t="s">
        <v>2428</v>
      </c>
      <c r="E67" s="5342" t="s">
        <v>2429</v>
      </c>
      <c r="F67" s="5342" t="s">
        <v>2430</v>
      </c>
      <c r="G67" s="5342" t="s">
        <v>24</v>
      </c>
      <c r="H67" s="5342" t="s">
        <v>24</v>
      </c>
      <c r="I67" s="5342" t="s">
        <v>709</v>
      </c>
    </row>
    <row customHeight="1" ht="11.25">
      <c r="A68" s="5342" t="s">
        <v>2182</v>
      </c>
      <c r="B68" s="5342" t="s">
        <v>14</v>
      </c>
      <c r="C68" s="5342" t="s">
        <v>2431</v>
      </c>
      <c r="D68" s="5342" t="s">
        <v>2432</v>
      </c>
      <c r="E68" s="5342" t="s">
        <v>2433</v>
      </c>
      <c r="F68" s="5342" t="s">
        <v>2434</v>
      </c>
      <c r="G68" s="5342" t="s">
        <v>24</v>
      </c>
      <c r="H68" s="5342" t="s">
        <v>24</v>
      </c>
      <c r="I68" s="5342" t="s">
        <v>709</v>
      </c>
    </row>
    <row customHeight="1" ht="11.25">
      <c r="A69" s="5342" t="s">
        <v>2182</v>
      </c>
      <c r="B69" s="5342" t="s">
        <v>14</v>
      </c>
      <c r="C69" s="5342" t="s">
        <v>2435</v>
      </c>
      <c r="D69" s="5342" t="s">
        <v>2436</v>
      </c>
      <c r="E69" s="5342" t="s">
        <v>2437</v>
      </c>
      <c r="F69" s="5342" t="s">
        <v>2438</v>
      </c>
      <c r="G69" s="5342" t="s">
        <v>24</v>
      </c>
      <c r="H69" s="5342" t="s">
        <v>24</v>
      </c>
      <c r="I69" s="5342" t="s">
        <v>709</v>
      </c>
    </row>
    <row customHeight="1" ht="11.25">
      <c r="A70" s="5342" t="s">
        <v>2182</v>
      </c>
      <c r="B70" s="5342" t="s">
        <v>14</v>
      </c>
      <c r="C70" s="5342" t="s">
        <v>2439</v>
      </c>
      <c r="D70" s="5342" t="s">
        <v>2440</v>
      </c>
      <c r="E70" s="5342" t="s">
        <v>2441</v>
      </c>
      <c r="F70" s="5342" t="s">
        <v>2442</v>
      </c>
      <c r="G70" s="5342" t="s">
        <v>24</v>
      </c>
      <c r="H70" s="5342" t="s">
        <v>24</v>
      </c>
      <c r="I70" s="5342" t="s">
        <v>709</v>
      </c>
    </row>
    <row customHeight="1" ht="11.25">
      <c r="A71" s="5342" t="s">
        <v>2182</v>
      </c>
      <c r="B71" s="5342" t="s">
        <v>14</v>
      </c>
      <c r="C71" s="5342" t="s">
        <v>2443</v>
      </c>
      <c r="D71" s="5342" t="s">
        <v>2444</v>
      </c>
      <c r="E71" s="5342" t="s">
        <v>2445</v>
      </c>
      <c r="F71" s="5342" t="s">
        <v>2446</v>
      </c>
      <c r="G71" s="5342" t="s">
        <v>24</v>
      </c>
      <c r="H71" s="5342" t="s">
        <v>24</v>
      </c>
      <c r="I71" s="5342" t="s">
        <v>709</v>
      </c>
    </row>
    <row customHeight="1" ht="11.25">
      <c r="A72" s="5342" t="s">
        <v>2182</v>
      </c>
      <c r="B72" s="5342" t="s">
        <v>14</v>
      </c>
      <c r="C72" s="5342" t="s">
        <v>2447</v>
      </c>
      <c r="D72" s="5342" t="s">
        <v>2448</v>
      </c>
      <c r="E72" s="5342" t="s">
        <v>2449</v>
      </c>
      <c r="F72" s="5342" t="s">
        <v>2450</v>
      </c>
      <c r="G72" s="5342" t="s">
        <v>24</v>
      </c>
      <c r="H72" s="5342" t="s">
        <v>24</v>
      </c>
      <c r="I72" s="5342" t="s">
        <v>709</v>
      </c>
    </row>
    <row customHeight="1" ht="11.25">
      <c r="A73" s="5342" t="s">
        <v>2182</v>
      </c>
      <c r="B73" s="5342" t="s">
        <v>14</v>
      </c>
      <c r="C73" s="5342" t="s">
        <v>2451</v>
      </c>
      <c r="D73" s="5342" t="s">
        <v>2452</v>
      </c>
      <c r="E73" s="5342" t="s">
        <v>2453</v>
      </c>
      <c r="F73" s="5342" t="s">
        <v>2271</v>
      </c>
      <c r="G73" s="5342" t="s">
        <v>24</v>
      </c>
      <c r="H73" s="5342" t="s">
        <v>24</v>
      </c>
      <c r="I73" s="5342" t="s">
        <v>709</v>
      </c>
    </row>
    <row customHeight="1" ht="11.25">
      <c r="A74" s="5342" t="s">
        <v>2182</v>
      </c>
      <c r="B74" s="5342" t="s">
        <v>14</v>
      </c>
      <c r="C74" s="5342" t="s">
        <v>2454</v>
      </c>
      <c r="D74" s="5342" t="s">
        <v>2455</v>
      </c>
      <c r="E74" s="5342" t="s">
        <v>2456</v>
      </c>
      <c r="F74" s="5342" t="s">
        <v>2186</v>
      </c>
      <c r="G74" s="5342" t="s">
        <v>24</v>
      </c>
      <c r="H74" s="5342" t="s">
        <v>24</v>
      </c>
      <c r="I74" s="5342" t="s">
        <v>709</v>
      </c>
    </row>
    <row customHeight="1" ht="11.25">
      <c r="A75" s="5342" t="s">
        <v>2182</v>
      </c>
      <c r="B75" s="5342" t="s">
        <v>14</v>
      </c>
      <c r="C75" s="5342" t="s">
        <v>2457</v>
      </c>
      <c r="D75" s="5342" t="s">
        <v>2458</v>
      </c>
      <c r="E75" s="5342" t="s">
        <v>2459</v>
      </c>
      <c r="F75" s="5342" t="s">
        <v>2377</v>
      </c>
      <c r="G75" s="5342" t="s">
        <v>24</v>
      </c>
      <c r="H75" s="5342" t="s">
        <v>24</v>
      </c>
      <c r="I75" s="5342" t="s">
        <v>709</v>
      </c>
    </row>
    <row customHeight="1" ht="11.25">
      <c r="A76" s="5342" t="s">
        <v>2182</v>
      </c>
      <c r="B76" s="5342" t="s">
        <v>14</v>
      </c>
      <c r="C76" s="5342" t="s">
        <v>2460</v>
      </c>
      <c r="D76" s="5342" t="s">
        <v>2461</v>
      </c>
      <c r="E76" s="5342" t="s">
        <v>2462</v>
      </c>
      <c r="F76" s="5342" t="s">
        <v>2240</v>
      </c>
      <c r="G76" s="5342" t="s">
        <v>24</v>
      </c>
      <c r="H76" s="5342" t="s">
        <v>24</v>
      </c>
      <c r="I76" s="5342" t="s">
        <v>709</v>
      </c>
    </row>
    <row customHeight="1" ht="11.25">
      <c r="A77" s="5342" t="s">
        <v>2182</v>
      </c>
      <c r="B77" s="5342" t="s">
        <v>14</v>
      </c>
      <c r="C77" s="5342" t="s">
        <v>2463</v>
      </c>
      <c r="D77" s="5342" t="s">
        <v>2464</v>
      </c>
      <c r="E77" s="5342" t="s">
        <v>2465</v>
      </c>
      <c r="F77" s="5342" t="s">
        <v>2236</v>
      </c>
      <c r="G77" s="5342" t="s">
        <v>24</v>
      </c>
      <c r="H77" s="5342" t="s">
        <v>24</v>
      </c>
      <c r="I77" s="5342" t="s">
        <v>709</v>
      </c>
    </row>
    <row customHeight="1" ht="11.25">
      <c r="A78" s="5342" t="s">
        <v>2182</v>
      </c>
      <c r="B78" s="5342" t="s">
        <v>14</v>
      </c>
      <c r="C78" s="5342" t="s">
        <v>2466</v>
      </c>
      <c r="D78" s="5342" t="s">
        <v>2467</v>
      </c>
      <c r="E78" s="5342" t="s">
        <v>2468</v>
      </c>
      <c r="F78" s="5342" t="s">
        <v>2469</v>
      </c>
      <c r="G78" s="5342" t="s">
        <v>2470</v>
      </c>
      <c r="H78" s="5342" t="s">
        <v>24</v>
      </c>
      <c r="I78" s="5342" t="s">
        <v>709</v>
      </c>
    </row>
    <row customHeight="1" ht="11.25">
      <c r="A79" s="5342" t="s">
        <v>2182</v>
      </c>
      <c r="B79" s="5342" t="s">
        <v>14</v>
      </c>
      <c r="C79" s="5342" t="s">
        <v>2471</v>
      </c>
      <c r="D79" s="5342" t="s">
        <v>2472</v>
      </c>
      <c r="E79" s="5342" t="s">
        <v>2473</v>
      </c>
      <c r="F79" s="5342" t="s">
        <v>2223</v>
      </c>
      <c r="G79" s="5342" t="s">
        <v>24</v>
      </c>
      <c r="H79" s="5342" t="s">
        <v>24</v>
      </c>
      <c r="I79" s="5342" t="s">
        <v>709</v>
      </c>
    </row>
    <row customHeight="1" ht="11.25">
      <c r="A80" s="5342" t="s">
        <v>2182</v>
      </c>
      <c r="B80" s="5342" t="s">
        <v>14</v>
      </c>
      <c r="C80" s="5342" t="s">
        <v>2474</v>
      </c>
      <c r="D80" s="5342" t="s">
        <v>2475</v>
      </c>
      <c r="E80" s="5342" t="s">
        <v>2476</v>
      </c>
      <c r="F80" s="5342" t="s">
        <v>50</v>
      </c>
      <c r="G80" s="5342" t="s">
        <v>24</v>
      </c>
      <c r="H80" s="5342" t="s">
        <v>24</v>
      </c>
      <c r="I80" s="5342" t="s">
        <v>709</v>
      </c>
    </row>
    <row customHeight="1" ht="11.25">
      <c r="A81" s="5342" t="s">
        <v>2182</v>
      </c>
      <c r="B81" s="5342" t="s">
        <v>14</v>
      </c>
      <c r="C81" s="5342" t="s">
        <v>2477</v>
      </c>
      <c r="D81" s="5342" t="s">
        <v>2478</v>
      </c>
      <c r="E81" s="5342" t="s">
        <v>2479</v>
      </c>
      <c r="F81" s="5342" t="s">
        <v>2442</v>
      </c>
      <c r="G81" s="5342" t="s">
        <v>24</v>
      </c>
      <c r="H81" s="5342" t="s">
        <v>2480</v>
      </c>
      <c r="I81" s="5342" t="s">
        <v>709</v>
      </c>
    </row>
    <row customHeight="1" ht="11.25">
      <c r="A82" s="5342" t="s">
        <v>2182</v>
      </c>
      <c r="B82" s="5342" t="s">
        <v>14</v>
      </c>
      <c r="C82" s="5342" t="s">
        <v>2481</v>
      </c>
      <c r="D82" s="5342" t="s">
        <v>2482</v>
      </c>
      <c r="E82" s="5342" t="s">
        <v>2483</v>
      </c>
      <c r="F82" s="5342" t="s">
        <v>2484</v>
      </c>
      <c r="G82" s="5342" t="s">
        <v>24</v>
      </c>
      <c r="H82" s="5342" t="s">
        <v>24</v>
      </c>
      <c r="I82" s="5342" t="s">
        <v>709</v>
      </c>
    </row>
    <row customHeight="1" ht="11.25">
      <c r="A83" s="5342" t="s">
        <v>2182</v>
      </c>
      <c r="B83" s="5342" t="s">
        <v>14</v>
      </c>
      <c r="C83" s="5342" t="s">
        <v>2485</v>
      </c>
      <c r="D83" s="5342" t="s">
        <v>2486</v>
      </c>
      <c r="E83" s="5342" t="s">
        <v>2487</v>
      </c>
      <c r="F83" s="5342" t="s">
        <v>2488</v>
      </c>
      <c r="G83" s="5342" t="s">
        <v>24</v>
      </c>
      <c r="H83" s="5342" t="s">
        <v>24</v>
      </c>
      <c r="I83" s="5342" t="s">
        <v>709</v>
      </c>
    </row>
    <row customHeight="1" ht="11.25">
      <c r="A84" s="5342" t="s">
        <v>2182</v>
      </c>
      <c r="B84" s="5342" t="s">
        <v>14</v>
      </c>
      <c r="C84" s="5342" t="s">
        <v>2489</v>
      </c>
      <c r="D84" s="5342" t="s">
        <v>2490</v>
      </c>
      <c r="E84" s="5342" t="s">
        <v>2491</v>
      </c>
      <c r="F84" s="5342" t="s">
        <v>2484</v>
      </c>
      <c r="G84" s="5342" t="s">
        <v>2492</v>
      </c>
      <c r="H84" s="5342" t="s">
        <v>24</v>
      </c>
      <c r="I84" s="5342" t="s">
        <v>709</v>
      </c>
    </row>
    <row customHeight="1" ht="11.25">
      <c r="A85" s="5342" t="s">
        <v>2182</v>
      </c>
      <c r="B85" s="5342" t="s">
        <v>14</v>
      </c>
      <c r="C85" s="5342" t="s">
        <v>2493</v>
      </c>
      <c r="D85" s="5342" t="s">
        <v>2494</v>
      </c>
      <c r="E85" s="5342" t="s">
        <v>2495</v>
      </c>
      <c r="F85" s="5342" t="s">
        <v>2442</v>
      </c>
      <c r="G85" s="5342" t="s">
        <v>2496</v>
      </c>
      <c r="H85" s="5342" t="s">
        <v>24</v>
      </c>
      <c r="I85" s="5342" t="s">
        <v>709</v>
      </c>
    </row>
    <row customHeight="1" ht="11.25">
      <c r="A86" s="5342" t="s">
        <v>2182</v>
      </c>
      <c r="B86" s="5342" t="s">
        <v>14</v>
      </c>
      <c r="C86" s="5342" t="s">
        <v>2497</v>
      </c>
      <c r="D86" s="5342" t="s">
        <v>2498</v>
      </c>
      <c r="E86" s="5342" t="s">
        <v>2499</v>
      </c>
      <c r="F86" s="5342" t="s">
        <v>2186</v>
      </c>
      <c r="G86" s="5342" t="s">
        <v>2500</v>
      </c>
      <c r="H86" s="5342" t="s">
        <v>24</v>
      </c>
      <c r="I86" s="5342" t="s">
        <v>709</v>
      </c>
    </row>
    <row customHeight="1" ht="11.25">
      <c r="A87" s="5342" t="s">
        <v>2182</v>
      </c>
      <c r="B87" s="5342" t="s">
        <v>14</v>
      </c>
      <c r="C87" s="5342" t="s">
        <v>2501</v>
      </c>
      <c r="D87" s="5342" t="s">
        <v>2502</v>
      </c>
      <c r="E87" s="5342" t="s">
        <v>2503</v>
      </c>
      <c r="F87" s="5342" t="s">
        <v>2450</v>
      </c>
      <c r="G87" s="5342" t="s">
        <v>24</v>
      </c>
      <c r="H87" s="5342" t="s">
        <v>2504</v>
      </c>
      <c r="I87" s="5342" t="s">
        <v>709</v>
      </c>
    </row>
    <row customHeight="1" ht="11.25">
      <c r="A88" s="5342" t="s">
        <v>2182</v>
      </c>
      <c r="B88" s="5342" t="s">
        <v>14</v>
      </c>
      <c r="C88" s="5342" t="s">
        <v>2505</v>
      </c>
      <c r="D88" s="5342" t="s">
        <v>2506</v>
      </c>
      <c r="E88" s="5342" t="s">
        <v>2507</v>
      </c>
      <c r="F88" s="5342" t="s">
        <v>2294</v>
      </c>
      <c r="G88" s="5342" t="s">
        <v>2508</v>
      </c>
      <c r="H88" s="5342" t="s">
        <v>24</v>
      </c>
      <c r="I88" s="5342" t="s">
        <v>709</v>
      </c>
    </row>
    <row customHeight="1" ht="11.25">
      <c r="A89" s="5342" t="s">
        <v>2182</v>
      </c>
      <c r="B89" s="5342" t="s">
        <v>14</v>
      </c>
      <c r="C89" s="5342" t="s">
        <v>2509</v>
      </c>
      <c r="D89" s="5342" t="s">
        <v>2510</v>
      </c>
      <c r="E89" s="5342" t="s">
        <v>2511</v>
      </c>
      <c r="F89" s="5342" t="s">
        <v>2294</v>
      </c>
      <c r="G89" s="5342" t="s">
        <v>2512</v>
      </c>
      <c r="H89" s="5342" t="s">
        <v>24</v>
      </c>
      <c r="I89" s="5342" t="s">
        <v>709</v>
      </c>
    </row>
    <row customHeight="1" ht="11.25">
      <c r="A90" s="5342" t="s">
        <v>2182</v>
      </c>
      <c r="B90" s="5342" t="s">
        <v>14</v>
      </c>
      <c r="C90" s="5342" t="s">
        <v>2513</v>
      </c>
      <c r="D90" s="5342" t="s">
        <v>2514</v>
      </c>
      <c r="E90" s="5342" t="s">
        <v>2515</v>
      </c>
      <c r="F90" s="5342" t="s">
        <v>2516</v>
      </c>
      <c r="G90" s="5342" t="s">
        <v>24</v>
      </c>
      <c r="H90" s="5342" t="s">
        <v>24</v>
      </c>
      <c r="I90" s="5342" t="s">
        <v>709</v>
      </c>
    </row>
    <row customHeight="1" ht="11.25">
      <c r="A91" s="5342" t="s">
        <v>2182</v>
      </c>
      <c r="B91" s="5342" t="s">
        <v>14</v>
      </c>
      <c r="C91" s="5342" t="s">
        <v>2517</v>
      </c>
      <c r="D91" s="5342" t="s">
        <v>2518</v>
      </c>
      <c r="E91" s="5342" t="s">
        <v>2519</v>
      </c>
      <c r="F91" s="5342" t="s">
        <v>2450</v>
      </c>
      <c r="G91" s="5342" t="s">
        <v>2224</v>
      </c>
      <c r="H91" s="5342" t="s">
        <v>24</v>
      </c>
      <c r="I91" s="5342" t="s">
        <v>709</v>
      </c>
    </row>
    <row customHeight="1" ht="11.25">
      <c r="A92" s="5342" t="s">
        <v>2182</v>
      </c>
      <c r="B92" s="5342" t="s">
        <v>14</v>
      </c>
      <c r="C92" s="5342" t="s">
        <v>2520</v>
      </c>
      <c r="D92" s="5342" t="s">
        <v>2521</v>
      </c>
      <c r="E92" s="5342" t="s">
        <v>2522</v>
      </c>
      <c r="F92" s="5342" t="s">
        <v>2232</v>
      </c>
      <c r="G92" s="5342" t="s">
        <v>24</v>
      </c>
      <c r="H92" s="5342" t="s">
        <v>24</v>
      </c>
      <c r="I92" s="5342" t="s">
        <v>709</v>
      </c>
    </row>
    <row customHeight="1" ht="11.25">
      <c r="A93" s="5342" t="s">
        <v>2182</v>
      </c>
      <c r="B93" s="5342" t="s">
        <v>14</v>
      </c>
      <c r="C93" s="5342" t="s">
        <v>2523</v>
      </c>
      <c r="D93" s="5342" t="s">
        <v>2524</v>
      </c>
      <c r="E93" s="5342" t="s">
        <v>2525</v>
      </c>
      <c r="F93" s="5342" t="s">
        <v>2249</v>
      </c>
      <c r="G93" s="5342" t="s">
        <v>24</v>
      </c>
      <c r="H93" s="5342" t="s">
        <v>24</v>
      </c>
      <c r="I93" s="5342" t="s">
        <v>709</v>
      </c>
    </row>
    <row customHeight="1" ht="11.25">
      <c r="A94" s="5342" t="s">
        <v>2182</v>
      </c>
      <c r="B94" s="5342" t="s">
        <v>14</v>
      </c>
      <c r="C94" s="5342" t="s">
        <v>2526</v>
      </c>
      <c r="D94" s="5342" t="s">
        <v>2527</v>
      </c>
      <c r="E94" s="5342" t="s">
        <v>2528</v>
      </c>
      <c r="F94" s="5342" t="s">
        <v>2236</v>
      </c>
      <c r="G94" s="5342" t="s">
        <v>24</v>
      </c>
      <c r="H94" s="5342" t="s">
        <v>24</v>
      </c>
      <c r="I94" s="5342" t="s">
        <v>709</v>
      </c>
    </row>
    <row customHeight="1" ht="11.25">
      <c r="A95" s="5342" t="s">
        <v>2182</v>
      </c>
      <c r="B95" s="5342" t="s">
        <v>14</v>
      </c>
      <c r="C95" s="5342" t="s">
        <v>2529</v>
      </c>
      <c r="D95" s="5342" t="s">
        <v>2530</v>
      </c>
      <c r="E95" s="5342" t="s">
        <v>2531</v>
      </c>
      <c r="F95" s="5342" t="s">
        <v>2390</v>
      </c>
      <c r="G95" s="5342" t="s">
        <v>24</v>
      </c>
      <c r="H95" s="5342" t="s">
        <v>24</v>
      </c>
      <c r="I95" s="5342" t="s">
        <v>709</v>
      </c>
    </row>
    <row customHeight="1" ht="11.25">
      <c r="A96" s="5342" t="s">
        <v>2182</v>
      </c>
      <c r="B96" s="5342" t="s">
        <v>14</v>
      </c>
      <c r="C96" s="5342" t="s">
        <v>2532</v>
      </c>
      <c r="D96" s="5342" t="s">
        <v>2533</v>
      </c>
      <c r="E96" s="5342" t="s">
        <v>2534</v>
      </c>
      <c r="F96" s="5342" t="s">
        <v>2373</v>
      </c>
      <c r="G96" s="5342" t="s">
        <v>24</v>
      </c>
      <c r="H96" s="5342" t="s">
        <v>2535</v>
      </c>
      <c r="I96" s="5342" t="s">
        <v>709</v>
      </c>
    </row>
    <row customHeight="1" ht="11.25">
      <c r="A97" s="5342" t="s">
        <v>2182</v>
      </c>
      <c r="B97" s="5342" t="s">
        <v>14</v>
      </c>
      <c r="C97" s="5342" t="s">
        <v>2536</v>
      </c>
      <c r="D97" s="5342" t="s">
        <v>2537</v>
      </c>
      <c r="E97" s="5342" t="s">
        <v>2538</v>
      </c>
      <c r="F97" s="5342" t="s">
        <v>2488</v>
      </c>
      <c r="G97" s="5342" t="s">
        <v>2539</v>
      </c>
      <c r="H97" s="5342" t="s">
        <v>24</v>
      </c>
      <c r="I97" s="5342" t="s">
        <v>709</v>
      </c>
    </row>
    <row customHeight="1" ht="11.25">
      <c r="A98" s="5342" t="s">
        <v>2182</v>
      </c>
      <c r="B98" s="5342" t="s">
        <v>14</v>
      </c>
      <c r="C98" s="5342" t="s">
        <v>2540</v>
      </c>
      <c r="D98" s="5342" t="s">
        <v>2537</v>
      </c>
      <c r="E98" s="5342" t="s">
        <v>2541</v>
      </c>
      <c r="F98" s="5342" t="s">
        <v>2228</v>
      </c>
      <c r="G98" s="5342" t="s">
        <v>24</v>
      </c>
      <c r="H98" s="5342" t="s">
        <v>24</v>
      </c>
      <c r="I98" s="5342" t="s">
        <v>709</v>
      </c>
    </row>
    <row customHeight="1" ht="11.25">
      <c r="A99" s="5342" t="s">
        <v>2182</v>
      </c>
      <c r="B99" s="5342" t="s">
        <v>14</v>
      </c>
      <c r="C99" s="5342" t="s">
        <v>2542</v>
      </c>
      <c r="D99" s="5342" t="s">
        <v>2543</v>
      </c>
      <c r="E99" s="5342" t="s">
        <v>2544</v>
      </c>
      <c r="F99" s="5342" t="s">
        <v>2545</v>
      </c>
      <c r="G99" s="5342" t="s">
        <v>24</v>
      </c>
      <c r="H99" s="5342" t="s">
        <v>24</v>
      </c>
      <c r="I99" s="5342" t="s">
        <v>709</v>
      </c>
    </row>
    <row customHeight="1" ht="11.25">
      <c r="A100" s="5342" t="s">
        <v>2182</v>
      </c>
      <c r="B100" s="5342" t="s">
        <v>14</v>
      </c>
      <c r="C100" s="5342" t="s">
        <v>2546</v>
      </c>
      <c r="D100" s="5342" t="s">
        <v>2547</v>
      </c>
      <c r="E100" s="5342" t="s">
        <v>2548</v>
      </c>
      <c r="F100" s="5342" t="s">
        <v>2240</v>
      </c>
      <c r="G100" s="5342" t="s">
        <v>24</v>
      </c>
      <c r="H100" s="5342" t="s">
        <v>24</v>
      </c>
      <c r="I100" s="5342" t="s">
        <v>709</v>
      </c>
    </row>
    <row customHeight="1" ht="11.25">
      <c r="A101" s="5342" t="s">
        <v>2182</v>
      </c>
      <c r="B101" s="5342" t="s">
        <v>14</v>
      </c>
      <c r="C101" s="5342" t="s">
        <v>2549</v>
      </c>
      <c r="D101" s="5342" t="s">
        <v>2550</v>
      </c>
      <c r="E101" s="5342" t="s">
        <v>2551</v>
      </c>
      <c r="F101" s="5342" t="s">
        <v>2552</v>
      </c>
      <c r="G101" s="5342" t="s">
        <v>24</v>
      </c>
      <c r="H101" s="5342" t="s">
        <v>24</v>
      </c>
      <c r="I101" s="5342" t="s">
        <v>709</v>
      </c>
    </row>
    <row customHeight="1" ht="11.25">
      <c r="A102" s="5342" t="s">
        <v>2182</v>
      </c>
      <c r="B102" s="5342" t="s">
        <v>14</v>
      </c>
      <c r="C102" s="5342" t="s">
        <v>2553</v>
      </c>
      <c r="D102" s="5342" t="s">
        <v>2554</v>
      </c>
      <c r="E102" s="5342" t="s">
        <v>2555</v>
      </c>
      <c r="F102" s="5342" t="s">
        <v>2186</v>
      </c>
      <c r="G102" s="5342" t="s">
        <v>24</v>
      </c>
      <c r="H102" s="5342" t="s">
        <v>24</v>
      </c>
      <c r="I102" s="5342" t="s">
        <v>709</v>
      </c>
    </row>
    <row customHeight="1" ht="11.25">
      <c r="A103" s="5342" t="s">
        <v>2182</v>
      </c>
      <c r="B103" s="5342" t="s">
        <v>14</v>
      </c>
      <c r="C103" s="5342" t="s">
        <v>2556</v>
      </c>
      <c r="D103" s="5342" t="s">
        <v>2557</v>
      </c>
      <c r="E103" s="5342" t="s">
        <v>2558</v>
      </c>
      <c r="F103" s="5342" t="s">
        <v>2249</v>
      </c>
      <c r="G103" s="5342" t="s">
        <v>2559</v>
      </c>
      <c r="H103" s="5342" t="s">
        <v>24</v>
      </c>
      <c r="I103" s="5342" t="s">
        <v>709</v>
      </c>
    </row>
    <row customHeight="1" ht="11.25">
      <c r="A104" s="5342" t="s">
        <v>2182</v>
      </c>
      <c r="B104" s="5342" t="s">
        <v>14</v>
      </c>
      <c r="C104" s="5342" t="s">
        <v>2560</v>
      </c>
      <c r="D104" s="5342" t="s">
        <v>2561</v>
      </c>
      <c r="E104" s="5342" t="s">
        <v>2562</v>
      </c>
      <c r="F104" s="5342" t="s">
        <v>2193</v>
      </c>
      <c r="G104" s="5342" t="s">
        <v>2563</v>
      </c>
      <c r="H104" s="5342" t="s">
        <v>24</v>
      </c>
      <c r="I104" s="5342" t="s">
        <v>709</v>
      </c>
    </row>
    <row customHeight="1" ht="11.25">
      <c r="A105" s="5342" t="s">
        <v>2182</v>
      </c>
      <c r="B105" s="5342" t="s">
        <v>14</v>
      </c>
      <c r="C105" s="5342" t="s">
        <v>2564</v>
      </c>
      <c r="D105" s="5342" t="s">
        <v>2565</v>
      </c>
      <c r="E105" s="5342" t="s">
        <v>2566</v>
      </c>
      <c r="F105" s="5342" t="s">
        <v>2488</v>
      </c>
      <c r="G105" s="5342" t="s">
        <v>24</v>
      </c>
      <c r="H105" s="5342" t="s">
        <v>24</v>
      </c>
      <c r="I105" s="5342" t="s">
        <v>709</v>
      </c>
    </row>
    <row customHeight="1" ht="11.25">
      <c r="A106" s="5342" t="s">
        <v>2182</v>
      </c>
      <c r="B106" s="5342" t="s">
        <v>14</v>
      </c>
      <c r="C106" s="5342" t="s">
        <v>2567</v>
      </c>
      <c r="D106" s="5342" t="s">
        <v>2568</v>
      </c>
      <c r="E106" s="5342" t="s">
        <v>2569</v>
      </c>
      <c r="F106" s="5342" t="s">
        <v>2223</v>
      </c>
      <c r="G106" s="5342" t="s">
        <v>24</v>
      </c>
      <c r="H106" s="5342" t="s">
        <v>24</v>
      </c>
      <c r="I106" s="5342" t="s">
        <v>709</v>
      </c>
    </row>
    <row customHeight="1" ht="11.25">
      <c r="A107" s="5342" t="s">
        <v>2182</v>
      </c>
      <c r="B107" s="5342" t="s">
        <v>14</v>
      </c>
      <c r="C107" s="5342" t="s">
        <v>2570</v>
      </c>
      <c r="D107" s="5342" t="s">
        <v>2571</v>
      </c>
      <c r="E107" s="5342" t="s">
        <v>2572</v>
      </c>
      <c r="F107" s="5342" t="s">
        <v>2450</v>
      </c>
      <c r="G107" s="5342" t="s">
        <v>24</v>
      </c>
      <c r="H107" s="5342" t="s">
        <v>24</v>
      </c>
      <c r="I107" s="5342" t="s">
        <v>709</v>
      </c>
    </row>
    <row customHeight="1" ht="11.25">
      <c r="A108" s="5342" t="s">
        <v>2182</v>
      </c>
      <c r="B108" s="5342" t="s">
        <v>14</v>
      </c>
      <c r="C108" s="5342" t="s">
        <v>2573</v>
      </c>
      <c r="D108" s="5342" t="s">
        <v>2574</v>
      </c>
      <c r="E108" s="5342" t="s">
        <v>2575</v>
      </c>
      <c r="F108" s="5342" t="s">
        <v>2576</v>
      </c>
      <c r="G108" s="5342" t="s">
        <v>24</v>
      </c>
      <c r="H108" s="5342" t="s">
        <v>24</v>
      </c>
      <c r="I108" s="5342" t="s">
        <v>709</v>
      </c>
    </row>
    <row customHeight="1" ht="11.25">
      <c r="A109" s="5342" t="s">
        <v>2182</v>
      </c>
      <c r="B109" s="5342" t="s">
        <v>14</v>
      </c>
      <c r="C109" s="5342" t="s">
        <v>2577</v>
      </c>
      <c r="D109" s="5342" t="s">
        <v>2578</v>
      </c>
      <c r="E109" s="5342" t="s">
        <v>2575</v>
      </c>
      <c r="F109" s="5342" t="s">
        <v>2362</v>
      </c>
      <c r="G109" s="5342" t="s">
        <v>24</v>
      </c>
      <c r="H109" s="5342" t="s">
        <v>24</v>
      </c>
      <c r="I109" s="5342" t="s">
        <v>709</v>
      </c>
    </row>
    <row customHeight="1" ht="11.25">
      <c r="A110" s="5342" t="s">
        <v>2182</v>
      </c>
      <c r="B110" s="5342" t="s">
        <v>14</v>
      </c>
      <c r="C110" s="5342" t="s">
        <v>2579</v>
      </c>
      <c r="D110" s="5342" t="s">
        <v>2580</v>
      </c>
      <c r="E110" s="5342" t="s">
        <v>2575</v>
      </c>
      <c r="F110" s="5342" t="s">
        <v>2581</v>
      </c>
      <c r="G110" s="5342" t="s">
        <v>24</v>
      </c>
      <c r="H110" s="5342" t="s">
        <v>24</v>
      </c>
      <c r="I110" s="5342" t="s">
        <v>709</v>
      </c>
    </row>
    <row customHeight="1" ht="11.25">
      <c r="A111" s="5342" t="s">
        <v>2182</v>
      </c>
      <c r="B111" s="5342" t="s">
        <v>14</v>
      </c>
      <c r="C111" s="5342" t="s">
        <v>2582</v>
      </c>
      <c r="D111" s="5342" t="s">
        <v>2583</v>
      </c>
      <c r="E111" s="5342" t="s">
        <v>2575</v>
      </c>
      <c r="F111" s="5342" t="s">
        <v>2584</v>
      </c>
      <c r="G111" s="5342" t="s">
        <v>24</v>
      </c>
      <c r="H111" s="5342" t="s">
        <v>24</v>
      </c>
      <c r="I111" s="5342" t="s">
        <v>709</v>
      </c>
    </row>
    <row customHeight="1" ht="11.25">
      <c r="A112" s="5342" t="s">
        <v>2182</v>
      </c>
      <c r="B112" s="5342" t="s">
        <v>14</v>
      </c>
      <c r="C112" s="5342" t="s">
        <v>2585</v>
      </c>
      <c r="D112" s="5342" t="s">
        <v>2586</v>
      </c>
      <c r="E112" s="5342" t="s">
        <v>2575</v>
      </c>
      <c r="F112" s="5342" t="s">
        <v>2587</v>
      </c>
      <c r="G112" s="5342" t="s">
        <v>24</v>
      </c>
      <c r="H112" s="5342" t="s">
        <v>24</v>
      </c>
      <c r="I112" s="5342" t="s">
        <v>709</v>
      </c>
    </row>
    <row customHeight="1" ht="11.25">
      <c r="A113" s="5342" t="s">
        <v>2182</v>
      </c>
      <c r="B113" s="5342" t="s">
        <v>14</v>
      </c>
      <c r="C113" s="5342" t="s">
        <v>2588</v>
      </c>
      <c r="D113" s="5342" t="s">
        <v>2589</v>
      </c>
      <c r="E113" s="5342" t="s">
        <v>2575</v>
      </c>
      <c r="F113" s="5342" t="s">
        <v>2590</v>
      </c>
      <c r="G113" s="5342" t="s">
        <v>24</v>
      </c>
      <c r="H113" s="5342" t="s">
        <v>24</v>
      </c>
      <c r="I113" s="5342" t="s">
        <v>709</v>
      </c>
    </row>
    <row customHeight="1" ht="11.25">
      <c r="A114" s="5342" t="s">
        <v>2182</v>
      </c>
      <c r="B114" s="5342" t="s">
        <v>14</v>
      </c>
      <c r="C114" s="5342" t="s">
        <v>2591</v>
      </c>
      <c r="D114" s="5342" t="s">
        <v>2592</v>
      </c>
      <c r="E114" s="5342" t="s">
        <v>2575</v>
      </c>
      <c r="F114" s="5342" t="s">
        <v>2593</v>
      </c>
      <c r="G114" s="5342" t="s">
        <v>24</v>
      </c>
      <c r="H114" s="5342" t="s">
        <v>24</v>
      </c>
      <c r="I114" s="5342" t="s">
        <v>709</v>
      </c>
    </row>
    <row customHeight="1" ht="11.25">
      <c r="A115" s="5342" t="s">
        <v>2182</v>
      </c>
      <c r="B115" s="5342" t="s">
        <v>14</v>
      </c>
      <c r="C115" s="5342" t="s">
        <v>2594</v>
      </c>
      <c r="D115" s="5342" t="s">
        <v>2595</v>
      </c>
      <c r="E115" s="5342" t="s">
        <v>2575</v>
      </c>
      <c r="F115" s="5342" t="s">
        <v>2596</v>
      </c>
      <c r="G115" s="5342" t="s">
        <v>24</v>
      </c>
      <c r="H115" s="5342" t="s">
        <v>24</v>
      </c>
      <c r="I115" s="5342" t="s">
        <v>709</v>
      </c>
    </row>
    <row customHeight="1" ht="11.25">
      <c r="A116" s="5342" t="s">
        <v>2182</v>
      </c>
      <c r="B116" s="5342" t="s">
        <v>14</v>
      </c>
      <c r="C116" s="5342" t="s">
        <v>2597</v>
      </c>
      <c r="D116" s="5342" t="s">
        <v>2598</v>
      </c>
      <c r="E116" s="5342" t="s">
        <v>2599</v>
      </c>
      <c r="F116" s="5342" t="s">
        <v>2600</v>
      </c>
      <c r="G116" s="5342" t="s">
        <v>24</v>
      </c>
      <c r="H116" s="5342" t="s">
        <v>24</v>
      </c>
      <c r="I116" s="5342" t="s">
        <v>709</v>
      </c>
    </row>
    <row customHeight="1" ht="11.25">
      <c r="A117" s="5342" t="s">
        <v>2182</v>
      </c>
      <c r="B117" s="5342" t="s">
        <v>14</v>
      </c>
      <c r="C117" s="5342" t="s">
        <v>2601</v>
      </c>
      <c r="D117" s="5342" t="s">
        <v>2602</v>
      </c>
      <c r="E117" s="5342" t="s">
        <v>2603</v>
      </c>
      <c r="F117" s="5342" t="s">
        <v>2450</v>
      </c>
      <c r="G117" s="5342" t="s">
        <v>24</v>
      </c>
      <c r="H117" s="5342" t="s">
        <v>24</v>
      </c>
      <c r="I117" s="5342" t="s">
        <v>709</v>
      </c>
    </row>
    <row customHeight="1" ht="11.25">
      <c r="A118" s="5342" t="s">
        <v>2182</v>
      </c>
      <c r="B118" s="5342" t="s">
        <v>14</v>
      </c>
      <c r="C118" s="5342" t="s">
        <v>2604</v>
      </c>
      <c r="D118" s="5342" t="s">
        <v>2605</v>
      </c>
      <c r="E118" s="5342" t="s">
        <v>2606</v>
      </c>
      <c r="F118" s="5342" t="s">
        <v>2301</v>
      </c>
      <c r="G118" s="5342" t="s">
        <v>24</v>
      </c>
      <c r="H118" s="5342" t="s">
        <v>24</v>
      </c>
      <c r="I118" s="5342" t="s">
        <v>709</v>
      </c>
    </row>
    <row customHeight="1" ht="11.25">
      <c r="A119" s="5342" t="s">
        <v>2182</v>
      </c>
      <c r="B119" s="5342" t="s">
        <v>14</v>
      </c>
      <c r="C119" s="5342" t="s">
        <v>2607</v>
      </c>
      <c r="D119" s="5342" t="s">
        <v>2608</v>
      </c>
      <c r="E119" s="5342" t="s">
        <v>2609</v>
      </c>
      <c r="F119" s="5342" t="s">
        <v>2610</v>
      </c>
      <c r="G119" s="5342" t="s">
        <v>2611</v>
      </c>
      <c r="H119" s="5342" t="s">
        <v>24</v>
      </c>
      <c r="I119" s="5342" t="s">
        <v>709</v>
      </c>
    </row>
    <row customHeight="1" ht="11.25">
      <c r="A120" s="5342" t="s">
        <v>2182</v>
      </c>
      <c r="B120" s="5342" t="s">
        <v>14</v>
      </c>
      <c r="C120" s="5342" t="s">
        <v>2612</v>
      </c>
      <c r="D120" s="5342" t="s">
        <v>2613</v>
      </c>
      <c r="E120" s="5342" t="s">
        <v>2614</v>
      </c>
      <c r="F120" s="5342" t="s">
        <v>2615</v>
      </c>
      <c r="G120" s="5342" t="s">
        <v>24</v>
      </c>
      <c r="H120" s="5342" t="s">
        <v>24</v>
      </c>
      <c r="I120" s="5342" t="s">
        <v>709</v>
      </c>
    </row>
    <row customHeight="1" ht="11.25">
      <c r="A121" s="5342" t="s">
        <v>2182</v>
      </c>
      <c r="B121" s="5342" t="s">
        <v>14</v>
      </c>
      <c r="C121" s="5342" t="s">
        <v>2616</v>
      </c>
      <c r="D121" s="5342" t="s">
        <v>2617</v>
      </c>
      <c r="E121" s="5342" t="s">
        <v>2618</v>
      </c>
      <c r="F121" s="5342" t="s">
        <v>2619</v>
      </c>
      <c r="G121" s="5342" t="s">
        <v>2620</v>
      </c>
      <c r="H121" s="5342" t="s">
        <v>24</v>
      </c>
      <c r="I121" s="5342" t="s">
        <v>709</v>
      </c>
    </row>
    <row customHeight="1" ht="11.25">
      <c r="A122" s="5342" t="s">
        <v>2182</v>
      </c>
      <c r="B122" s="5342" t="s">
        <v>14</v>
      </c>
      <c r="C122" s="5342" t="s">
        <v>2621</v>
      </c>
      <c r="D122" s="5342" t="s">
        <v>2622</v>
      </c>
      <c r="E122" s="5342" t="s">
        <v>2623</v>
      </c>
      <c r="F122" s="5342" t="s">
        <v>2249</v>
      </c>
      <c r="G122" s="5342" t="s">
        <v>2624</v>
      </c>
      <c r="H122" s="5342" t="s">
        <v>24</v>
      </c>
      <c r="I122" s="5342" t="s">
        <v>709</v>
      </c>
    </row>
    <row customHeight="1" ht="11.25">
      <c r="A123" s="5342" t="s">
        <v>2182</v>
      </c>
      <c r="B123" s="5342" t="s">
        <v>14</v>
      </c>
      <c r="C123" s="5342" t="s">
        <v>2625</v>
      </c>
      <c r="D123" s="5342" t="s">
        <v>2626</v>
      </c>
      <c r="E123" s="5342" t="s">
        <v>2627</v>
      </c>
      <c r="F123" s="5342" t="s">
        <v>2628</v>
      </c>
      <c r="G123" s="5342" t="s">
        <v>2629</v>
      </c>
      <c r="H123" s="5342" t="s">
        <v>24</v>
      </c>
      <c r="I123" s="5342" t="s">
        <v>709</v>
      </c>
    </row>
    <row customHeight="1" ht="11.25">
      <c r="A124" s="5342" t="s">
        <v>2182</v>
      </c>
      <c r="B124" s="5342" t="s">
        <v>14</v>
      </c>
      <c r="C124" s="5342" t="s">
        <v>2630</v>
      </c>
      <c r="D124" s="5342" t="s">
        <v>2631</v>
      </c>
      <c r="E124" s="5342" t="s">
        <v>2632</v>
      </c>
      <c r="F124" s="5342" t="s">
        <v>2484</v>
      </c>
      <c r="G124" s="5342" t="s">
        <v>24</v>
      </c>
      <c r="H124" s="5342" t="s">
        <v>24</v>
      </c>
      <c r="I124" s="5342" t="s">
        <v>709</v>
      </c>
    </row>
    <row customHeight="1" ht="11.25">
      <c r="A125" s="5342" t="s">
        <v>2182</v>
      </c>
      <c r="B125" s="5342" t="s">
        <v>14</v>
      </c>
      <c r="C125" s="5342" t="s">
        <v>2633</v>
      </c>
      <c r="D125" s="5342" t="s">
        <v>2634</v>
      </c>
      <c r="E125" s="5342" t="s">
        <v>2635</v>
      </c>
      <c r="F125" s="5342" t="s">
        <v>2240</v>
      </c>
      <c r="G125" s="5342" t="s">
        <v>24</v>
      </c>
      <c r="H125" s="5342" t="s">
        <v>24</v>
      </c>
      <c r="I125" s="5342" t="s">
        <v>709</v>
      </c>
    </row>
    <row customHeight="1" ht="11.25">
      <c r="A126" s="5342" t="s">
        <v>2182</v>
      </c>
      <c r="B126" s="5342" t="s">
        <v>14</v>
      </c>
      <c r="C126" s="5342" t="s">
        <v>2636</v>
      </c>
      <c r="D126" s="5342" t="s">
        <v>2637</v>
      </c>
      <c r="E126" s="5342" t="s">
        <v>2638</v>
      </c>
      <c r="F126" s="5342" t="s">
        <v>2240</v>
      </c>
      <c r="G126" s="5342" t="s">
        <v>24</v>
      </c>
      <c r="H126" s="5342" t="s">
        <v>24</v>
      </c>
      <c r="I126" s="5342" t="s">
        <v>709</v>
      </c>
    </row>
    <row customHeight="1" ht="11.25">
      <c r="A127" s="5342" t="s">
        <v>2182</v>
      </c>
      <c r="B127" s="5342" t="s">
        <v>14</v>
      </c>
      <c r="C127" s="5342" t="s">
        <v>2639</v>
      </c>
      <c r="D127" s="5342" t="s">
        <v>2640</v>
      </c>
      <c r="E127" s="5342" t="s">
        <v>2641</v>
      </c>
      <c r="F127" s="5342" t="s">
        <v>2642</v>
      </c>
      <c r="G127" s="5342" t="s">
        <v>24</v>
      </c>
      <c r="H127" s="5342" t="s">
        <v>24</v>
      </c>
      <c r="I127" s="5342" t="s">
        <v>709</v>
      </c>
    </row>
    <row customHeight="1" ht="11.25">
      <c r="A128" s="5342" t="s">
        <v>2182</v>
      </c>
      <c r="B128" s="5342" t="s">
        <v>14</v>
      </c>
      <c r="C128" s="5342" t="s">
        <v>2643</v>
      </c>
      <c r="D128" s="5342" t="s">
        <v>2644</v>
      </c>
      <c r="E128" s="5342" t="s">
        <v>2645</v>
      </c>
      <c r="F128" s="5342" t="s">
        <v>2309</v>
      </c>
      <c r="G128" s="5342" t="s">
        <v>2646</v>
      </c>
      <c r="H128" s="5342" t="s">
        <v>24</v>
      </c>
      <c r="I128" s="5342" t="s">
        <v>709</v>
      </c>
    </row>
    <row customHeight="1" ht="11.25">
      <c r="A129" s="5342" t="s">
        <v>2182</v>
      </c>
      <c r="B129" s="5342" t="s">
        <v>14</v>
      </c>
      <c r="C129" s="5342" t="s">
        <v>2647</v>
      </c>
      <c r="D129" s="5342" t="s">
        <v>2648</v>
      </c>
      <c r="E129" s="5342" t="s">
        <v>2649</v>
      </c>
      <c r="F129" s="5342" t="s">
        <v>2301</v>
      </c>
      <c r="G129" s="5342" t="s">
        <v>24</v>
      </c>
      <c r="H129" s="5342" t="s">
        <v>24</v>
      </c>
      <c r="I129" s="5342" t="s">
        <v>709</v>
      </c>
    </row>
    <row customHeight="1" ht="11.25">
      <c r="A130" s="5342" t="s">
        <v>2182</v>
      </c>
      <c r="B130" s="5342" t="s">
        <v>14</v>
      </c>
      <c r="C130" s="5342" t="s">
        <v>2650</v>
      </c>
      <c r="D130" s="5342" t="s">
        <v>2651</v>
      </c>
      <c r="E130" s="5342" t="s">
        <v>2652</v>
      </c>
      <c r="F130" s="5342" t="s">
        <v>2240</v>
      </c>
      <c r="G130" s="5342" t="s">
        <v>24</v>
      </c>
      <c r="H130" s="5342" t="s">
        <v>2653</v>
      </c>
      <c r="I130" s="5342" t="s">
        <v>709</v>
      </c>
    </row>
    <row customHeight="1" ht="11.25">
      <c r="A131" s="5342" t="s">
        <v>2182</v>
      </c>
      <c r="B131" s="5342" t="s">
        <v>14</v>
      </c>
      <c r="C131" s="5342" t="s">
        <v>2654</v>
      </c>
      <c r="D131" s="5342" t="s">
        <v>2655</v>
      </c>
      <c r="E131" s="5342" t="s">
        <v>2656</v>
      </c>
      <c r="F131" s="5342" t="s">
        <v>2271</v>
      </c>
      <c r="G131" s="5342" t="s">
        <v>2657</v>
      </c>
      <c r="H131" s="5342" t="s">
        <v>24</v>
      </c>
      <c r="I131" s="5342" t="s">
        <v>709</v>
      </c>
    </row>
    <row customHeight="1" ht="11.25">
      <c r="A132" s="5342" t="s">
        <v>2182</v>
      </c>
      <c r="B132" s="5342" t="s">
        <v>14</v>
      </c>
      <c r="C132" s="5342" t="s">
        <v>2658</v>
      </c>
      <c r="D132" s="5342" t="s">
        <v>2659</v>
      </c>
      <c r="E132" s="5342" t="s">
        <v>2660</v>
      </c>
      <c r="F132" s="5342" t="s">
        <v>2600</v>
      </c>
      <c r="G132" s="5342" t="s">
        <v>24</v>
      </c>
      <c r="H132" s="5342" t="s">
        <v>24</v>
      </c>
      <c r="I132" s="5342" t="s">
        <v>709</v>
      </c>
    </row>
    <row customHeight="1" ht="11.25">
      <c r="A133" s="5342" t="s">
        <v>2182</v>
      </c>
      <c r="B133" s="5342" t="s">
        <v>14</v>
      </c>
      <c r="C133" s="5342" t="s">
        <v>2661</v>
      </c>
      <c r="D133" s="5342" t="s">
        <v>2662</v>
      </c>
      <c r="E133" s="5342" t="s">
        <v>2663</v>
      </c>
      <c r="F133" s="5342" t="s">
        <v>2642</v>
      </c>
      <c r="G133" s="5342" t="s">
        <v>24</v>
      </c>
      <c r="H133" s="5342" t="s">
        <v>24</v>
      </c>
      <c r="I133" s="5342" t="s">
        <v>709</v>
      </c>
    </row>
    <row customHeight="1" ht="11.25">
      <c r="A134" s="5342" t="s">
        <v>2182</v>
      </c>
      <c r="B134" s="5342" t="s">
        <v>14</v>
      </c>
      <c r="C134" s="5342" t="s">
        <v>2664</v>
      </c>
      <c r="D134" s="5342" t="s">
        <v>2665</v>
      </c>
      <c r="E134" s="5342" t="s">
        <v>2666</v>
      </c>
      <c r="F134" s="5342" t="s">
        <v>2667</v>
      </c>
      <c r="G134" s="5342" t="s">
        <v>24</v>
      </c>
      <c r="H134" s="5342" t="s">
        <v>24</v>
      </c>
      <c r="I134" s="5342" t="s">
        <v>709</v>
      </c>
    </row>
    <row customHeight="1" ht="11.25">
      <c r="A135" s="5342" t="s">
        <v>2182</v>
      </c>
      <c r="B135" s="5342" t="s">
        <v>14</v>
      </c>
      <c r="C135" s="5342" t="s">
        <v>2668</v>
      </c>
      <c r="D135" s="5342" t="s">
        <v>2669</v>
      </c>
      <c r="E135" s="5342" t="s">
        <v>2670</v>
      </c>
      <c r="F135" s="5342" t="s">
        <v>2271</v>
      </c>
      <c r="G135" s="5342" t="s">
        <v>24</v>
      </c>
      <c r="H135" s="5342" t="s">
        <v>24</v>
      </c>
      <c r="I135" s="5342" t="s">
        <v>709</v>
      </c>
    </row>
    <row customHeight="1" ht="11.25">
      <c r="A136" s="5342" t="s">
        <v>2182</v>
      </c>
      <c r="B136" s="5342" t="s">
        <v>14</v>
      </c>
      <c r="C136" s="5342" t="s">
        <v>2671</v>
      </c>
      <c r="D136" s="5342" t="s">
        <v>2672</v>
      </c>
      <c r="E136" s="5342" t="s">
        <v>2673</v>
      </c>
      <c r="F136" s="5342" t="s">
        <v>2442</v>
      </c>
      <c r="G136" s="5342" t="s">
        <v>24</v>
      </c>
      <c r="H136" s="5342" t="s">
        <v>24</v>
      </c>
      <c r="I136" s="5342" t="s">
        <v>709</v>
      </c>
    </row>
    <row customHeight="1" ht="11.25">
      <c r="A137" s="5342" t="s">
        <v>2182</v>
      </c>
      <c r="B137" s="5342" t="s">
        <v>14</v>
      </c>
      <c r="C137" s="5342" t="s">
        <v>2674</v>
      </c>
      <c r="D137" s="5342" t="s">
        <v>2675</v>
      </c>
      <c r="E137" s="5342" t="s">
        <v>2676</v>
      </c>
      <c r="F137" s="5342" t="s">
        <v>2253</v>
      </c>
      <c r="G137" s="5342" t="s">
        <v>24</v>
      </c>
      <c r="H137" s="5342" t="s">
        <v>24</v>
      </c>
      <c r="I137" s="5342" t="s">
        <v>709</v>
      </c>
    </row>
    <row customHeight="1" ht="11.25">
      <c r="A138" s="5342" t="s">
        <v>2182</v>
      </c>
      <c r="B138" s="5342" t="s">
        <v>14</v>
      </c>
      <c r="C138" s="5342" t="s">
        <v>2677</v>
      </c>
      <c r="D138" s="5342" t="s">
        <v>2678</v>
      </c>
      <c r="E138" s="5342" t="s">
        <v>2679</v>
      </c>
      <c r="F138" s="5342" t="s">
        <v>2680</v>
      </c>
      <c r="G138" s="5342" t="s">
        <v>24</v>
      </c>
      <c r="H138" s="5342" t="s">
        <v>24</v>
      </c>
      <c r="I138" s="5342" t="s">
        <v>709</v>
      </c>
    </row>
    <row customHeight="1" ht="11.25">
      <c r="A139" s="5342" t="s">
        <v>2182</v>
      </c>
      <c r="B139" s="5342" t="s">
        <v>14</v>
      </c>
      <c r="C139" s="5342" t="s">
        <v>2681</v>
      </c>
      <c r="D139" s="5342" t="s">
        <v>2682</v>
      </c>
      <c r="E139" s="5342" t="s">
        <v>2683</v>
      </c>
      <c r="F139" s="5342" t="s">
        <v>2600</v>
      </c>
      <c r="G139" s="5342" t="s">
        <v>24</v>
      </c>
      <c r="H139" s="5342" t="s">
        <v>24</v>
      </c>
      <c r="I139" s="5342" t="s">
        <v>709</v>
      </c>
    </row>
    <row customHeight="1" ht="11.25">
      <c r="A140" s="5342" t="s">
        <v>2182</v>
      </c>
      <c r="B140" s="5342" t="s">
        <v>14</v>
      </c>
      <c r="C140" s="5342" t="s">
        <v>2684</v>
      </c>
      <c r="D140" s="5342" t="s">
        <v>2685</v>
      </c>
      <c r="E140" s="5342" t="s">
        <v>2686</v>
      </c>
      <c r="F140" s="5342" t="s">
        <v>2430</v>
      </c>
      <c r="G140" s="5342" t="s">
        <v>24</v>
      </c>
      <c r="H140" s="5342" t="s">
        <v>24</v>
      </c>
      <c r="I140" s="5342" t="s">
        <v>709</v>
      </c>
    </row>
    <row customHeight="1" ht="11.25">
      <c r="A141" s="5342" t="s">
        <v>2182</v>
      </c>
      <c r="B141" s="5342" t="s">
        <v>14</v>
      </c>
      <c r="C141" s="5342" t="s">
        <v>2687</v>
      </c>
      <c r="D141" s="5342" t="s">
        <v>2688</v>
      </c>
      <c r="E141" s="5342" t="s">
        <v>2689</v>
      </c>
      <c r="F141" s="5342" t="s">
        <v>2423</v>
      </c>
      <c r="G141" s="5342" t="s">
        <v>24</v>
      </c>
      <c r="H141" s="5342" t="s">
        <v>24</v>
      </c>
      <c r="I141" s="5342" t="s">
        <v>709</v>
      </c>
    </row>
    <row customHeight="1" ht="11.25">
      <c r="A142" s="5342" t="s">
        <v>2182</v>
      </c>
      <c r="B142" s="5342" t="s">
        <v>14</v>
      </c>
      <c r="C142" s="5342" t="s">
        <v>2690</v>
      </c>
      <c r="D142" s="5342" t="s">
        <v>2691</v>
      </c>
      <c r="E142" s="5342" t="s">
        <v>2692</v>
      </c>
      <c r="F142" s="5342" t="s">
        <v>2271</v>
      </c>
      <c r="G142" s="5342" t="s">
        <v>2693</v>
      </c>
      <c r="H142" s="5342" t="s">
        <v>24</v>
      </c>
      <c r="I142" s="5342" t="s">
        <v>709</v>
      </c>
    </row>
    <row customHeight="1" ht="11.25">
      <c r="A143" s="5342" t="s">
        <v>2182</v>
      </c>
      <c r="B143" s="5342" t="s">
        <v>14</v>
      </c>
      <c r="C143" s="5342" t="s">
        <v>2694</v>
      </c>
      <c r="D143" s="5342" t="s">
        <v>2695</v>
      </c>
      <c r="E143" s="5342" t="s">
        <v>2696</v>
      </c>
      <c r="F143" s="5342" t="s">
        <v>2697</v>
      </c>
      <c r="G143" s="5342" t="s">
        <v>24</v>
      </c>
      <c r="H143" s="5342" t="s">
        <v>24</v>
      </c>
      <c r="I143" s="5342" t="s">
        <v>709</v>
      </c>
    </row>
    <row customHeight="1" ht="11.25">
      <c r="A144" s="5342" t="s">
        <v>2182</v>
      </c>
      <c r="B144" s="5342" t="s">
        <v>14</v>
      </c>
      <c r="C144" s="5342" t="s">
        <v>2698</v>
      </c>
      <c r="D144" s="5342" t="s">
        <v>2699</v>
      </c>
      <c r="E144" s="5342" t="s">
        <v>2200</v>
      </c>
      <c r="F144" s="5342" t="s">
        <v>2700</v>
      </c>
      <c r="G144" s="5342" t="s">
        <v>24</v>
      </c>
      <c r="H144" s="5342" t="s">
        <v>24</v>
      </c>
      <c r="I144" s="5342" t="s">
        <v>709</v>
      </c>
    </row>
    <row customHeight="1" ht="11.25">
      <c r="A145" s="5342" t="s">
        <v>2182</v>
      </c>
      <c r="B145" s="5342" t="s">
        <v>14</v>
      </c>
      <c r="C145" s="5342" t="s">
        <v>2701</v>
      </c>
      <c r="D145" s="5342" t="s">
        <v>2702</v>
      </c>
      <c r="E145" s="5342" t="s">
        <v>2703</v>
      </c>
      <c r="F145" s="5342" t="s">
        <v>2240</v>
      </c>
      <c r="G145" s="5342" t="s">
        <v>24</v>
      </c>
      <c r="H145" s="5342" t="s">
        <v>24</v>
      </c>
      <c r="I145" s="5342" t="s">
        <v>709</v>
      </c>
    </row>
    <row customHeight="1" ht="11.25">
      <c r="A146" s="5342" t="s">
        <v>2182</v>
      </c>
      <c r="B146" s="5342" t="s">
        <v>14</v>
      </c>
      <c r="C146" s="5342" t="s">
        <v>2704</v>
      </c>
      <c r="D146" s="5342" t="s">
        <v>2705</v>
      </c>
      <c r="E146" s="5342" t="s">
        <v>2706</v>
      </c>
      <c r="F146" s="5342" t="s">
        <v>2707</v>
      </c>
      <c r="G146" s="5342" t="s">
        <v>24</v>
      </c>
      <c r="H146" s="5342" t="s">
        <v>24</v>
      </c>
      <c r="I146" s="5342" t="s">
        <v>709</v>
      </c>
    </row>
    <row customHeight="1" ht="11.25">
      <c r="A147" s="5342" t="s">
        <v>2182</v>
      </c>
      <c r="B147" s="5342" t="s">
        <v>14</v>
      </c>
      <c r="C147" s="5342" t="s">
        <v>24</v>
      </c>
      <c r="D147" s="5342" t="s">
        <v>2708</v>
      </c>
      <c r="E147" s="5342" t="s">
        <v>2709</v>
      </c>
      <c r="F147" s="5342" t="s">
        <v>2442</v>
      </c>
      <c r="G147" s="5342" t="s">
        <v>24</v>
      </c>
      <c r="H147" s="5342" t="s">
        <v>24</v>
      </c>
      <c r="I147" s="5342" t="s">
        <v>709</v>
      </c>
    </row>
    <row customHeight="1" ht="11.25">
      <c r="A148" s="5342" t="s">
        <v>2182</v>
      </c>
      <c r="B148" s="5342" t="s">
        <v>14</v>
      </c>
      <c r="C148" s="5342" t="s">
        <v>2710</v>
      </c>
      <c r="D148" s="5342" t="s">
        <v>2711</v>
      </c>
      <c r="E148" s="5342" t="s">
        <v>2712</v>
      </c>
      <c r="F148" s="5342" t="s">
        <v>2713</v>
      </c>
      <c r="G148" s="5342" t="s">
        <v>24</v>
      </c>
      <c r="H148" s="5342" t="s">
        <v>24</v>
      </c>
      <c r="I148" s="5342" t="s">
        <v>709</v>
      </c>
    </row>
    <row customHeight="1" ht="11.25">
      <c r="A149" s="5342" t="s">
        <v>2182</v>
      </c>
      <c r="B149" s="5342" t="s">
        <v>14</v>
      </c>
      <c r="C149" s="5342" t="s">
        <v>2714</v>
      </c>
      <c r="D149" s="5342" t="s">
        <v>2715</v>
      </c>
      <c r="E149" s="5342" t="s">
        <v>2716</v>
      </c>
      <c r="F149" s="5342" t="s">
        <v>2223</v>
      </c>
      <c r="G149" s="5342" t="s">
        <v>24</v>
      </c>
      <c r="H149" s="5342" t="s">
        <v>24</v>
      </c>
      <c r="I149" s="5342" t="s">
        <v>709</v>
      </c>
    </row>
    <row customHeight="1" ht="11.25">
      <c r="A150" s="5342" t="s">
        <v>2182</v>
      </c>
      <c r="B150" s="5342" t="s">
        <v>14</v>
      </c>
      <c r="C150" s="5342" t="s">
        <v>2717</v>
      </c>
      <c r="D150" s="5342" t="s">
        <v>2718</v>
      </c>
      <c r="E150" s="5342" t="s">
        <v>2712</v>
      </c>
      <c r="F150" s="5342" t="s">
        <v>2719</v>
      </c>
      <c r="G150" s="5342" t="s">
        <v>24</v>
      </c>
      <c r="H150" s="5342" t="s">
        <v>24</v>
      </c>
      <c r="I150" s="5342" t="s">
        <v>709</v>
      </c>
    </row>
    <row customHeight="1" ht="11.25">
      <c r="A151" s="5342" t="s">
        <v>2182</v>
      </c>
      <c r="B151" s="5342" t="s">
        <v>14</v>
      </c>
      <c r="C151" s="5342" t="s">
        <v>2720</v>
      </c>
      <c r="D151" s="5342" t="s">
        <v>2721</v>
      </c>
      <c r="E151" s="5342" t="s">
        <v>2722</v>
      </c>
      <c r="F151" s="5342" t="s">
        <v>2423</v>
      </c>
      <c r="G151" s="5342" t="s">
        <v>24</v>
      </c>
      <c r="H151" s="5342" t="s">
        <v>24</v>
      </c>
      <c r="I151" s="5342" t="s">
        <v>709</v>
      </c>
    </row>
    <row customHeight="1" ht="11.25">
      <c r="A152" s="5342" t="s">
        <v>2182</v>
      </c>
      <c r="B152" s="5342" t="s">
        <v>14</v>
      </c>
      <c r="C152" s="5342" t="s">
        <v>2723</v>
      </c>
      <c r="D152" s="5342" t="s">
        <v>2724</v>
      </c>
      <c r="E152" s="5342" t="s">
        <v>2725</v>
      </c>
      <c r="F152" s="5342" t="s">
        <v>2726</v>
      </c>
      <c r="G152" s="5342" t="s">
        <v>24</v>
      </c>
      <c r="H152" s="5342" t="s">
        <v>24</v>
      </c>
      <c r="I152" s="5342" t="s">
        <v>709</v>
      </c>
    </row>
    <row customHeight="1" ht="11.25">
      <c r="A153" s="5342" t="s">
        <v>2182</v>
      </c>
      <c r="B153" s="5342" t="s">
        <v>14</v>
      </c>
      <c r="C153" s="5342" t="s">
        <v>2727</v>
      </c>
      <c r="D153" s="5342" t="s">
        <v>2728</v>
      </c>
      <c r="E153" s="5342" t="s">
        <v>2729</v>
      </c>
      <c r="F153" s="5342" t="s">
        <v>2249</v>
      </c>
      <c r="G153" s="5342" t="s">
        <v>24</v>
      </c>
      <c r="H153" s="5342" t="s">
        <v>24</v>
      </c>
      <c r="I153" s="5342" t="s">
        <v>709</v>
      </c>
    </row>
    <row customHeight="1" ht="11.25">
      <c r="A154" s="5342" t="s">
        <v>2182</v>
      </c>
      <c r="B154" s="5342" t="s">
        <v>14</v>
      </c>
      <c r="C154" s="5342" t="s">
        <v>2730</v>
      </c>
      <c r="D154" s="5342" t="s">
        <v>2731</v>
      </c>
      <c r="E154" s="5342" t="s">
        <v>2732</v>
      </c>
      <c r="F154" s="5342" t="s">
        <v>2430</v>
      </c>
      <c r="G154" s="5342" t="s">
        <v>24</v>
      </c>
      <c r="H154" s="5342" t="s">
        <v>24</v>
      </c>
      <c r="I154" s="5342" t="s">
        <v>709</v>
      </c>
    </row>
    <row customHeight="1" ht="11.25">
      <c r="A155" s="5342" t="s">
        <v>2182</v>
      </c>
      <c r="B155" s="5342" t="s">
        <v>14</v>
      </c>
      <c r="C155" s="5342" t="s">
        <v>2733</v>
      </c>
      <c r="D155" s="5342" t="s">
        <v>2734</v>
      </c>
      <c r="E155" s="5342" t="s">
        <v>2735</v>
      </c>
      <c r="F155" s="5342" t="s">
        <v>2430</v>
      </c>
      <c r="G155" s="5342" t="s">
        <v>24</v>
      </c>
      <c r="H155" s="5342" t="s">
        <v>24</v>
      </c>
      <c r="I155" s="5342" t="s">
        <v>709</v>
      </c>
    </row>
    <row customHeight="1" ht="11.25">
      <c r="A156" s="5342" t="s">
        <v>2182</v>
      </c>
      <c r="B156" s="5342" t="s">
        <v>14</v>
      </c>
      <c r="C156" s="5342" t="s">
        <v>2736</v>
      </c>
      <c r="D156" s="5342" t="s">
        <v>2737</v>
      </c>
      <c r="E156" s="5342" t="s">
        <v>2738</v>
      </c>
      <c r="F156" s="5342" t="s">
        <v>2739</v>
      </c>
      <c r="G156" s="5342" t="s">
        <v>24</v>
      </c>
      <c r="H156" s="5342" t="s">
        <v>24</v>
      </c>
      <c r="I156" s="5342" t="s">
        <v>709</v>
      </c>
    </row>
    <row customHeight="1" ht="11.25">
      <c r="A157" s="5342" t="s">
        <v>2182</v>
      </c>
      <c r="B157" s="5342" t="s">
        <v>14</v>
      </c>
      <c r="C157" s="5342" t="s">
        <v>2740</v>
      </c>
      <c r="D157" s="5342" t="s">
        <v>2741</v>
      </c>
      <c r="E157" s="5342" t="s">
        <v>2725</v>
      </c>
      <c r="F157" s="5342" t="s">
        <v>2742</v>
      </c>
      <c r="G157" s="5342" t="s">
        <v>24</v>
      </c>
      <c r="H157" s="5342" t="s">
        <v>24</v>
      </c>
      <c r="I157" s="5342" t="s">
        <v>709</v>
      </c>
    </row>
    <row customHeight="1" ht="11.25">
      <c r="A158" s="5342" t="s">
        <v>2182</v>
      </c>
      <c r="B158" s="5342" t="s">
        <v>14</v>
      </c>
      <c r="C158" s="5342" t="s">
        <v>2743</v>
      </c>
      <c r="D158" s="5342" t="s">
        <v>2744</v>
      </c>
      <c r="E158" s="5342" t="s">
        <v>2745</v>
      </c>
      <c r="F158" s="5342" t="s">
        <v>2746</v>
      </c>
      <c r="G158" s="5342" t="s">
        <v>24</v>
      </c>
      <c r="H158" s="5342" t="s">
        <v>24</v>
      </c>
      <c r="I158" s="5342" t="s">
        <v>709</v>
      </c>
    </row>
    <row customHeight="1" ht="11.25">
      <c r="A159" s="5342" t="s">
        <v>2182</v>
      </c>
      <c r="B159" s="5342" t="s">
        <v>14</v>
      </c>
      <c r="C159" s="5342" t="s">
        <v>2747</v>
      </c>
      <c r="D159" s="5342" t="s">
        <v>2748</v>
      </c>
      <c r="E159" s="5342" t="s">
        <v>2745</v>
      </c>
      <c r="F159" s="5342" t="s">
        <v>2749</v>
      </c>
      <c r="G159" s="5342" t="s">
        <v>2750</v>
      </c>
      <c r="H159" s="5342" t="s">
        <v>24</v>
      </c>
      <c r="I159" s="5342" t="s">
        <v>709</v>
      </c>
    </row>
    <row customHeight="1" ht="11.25">
      <c r="A160" s="5342" t="s">
        <v>2182</v>
      </c>
      <c r="B160" s="5342" t="s">
        <v>14</v>
      </c>
      <c r="C160" s="5342" t="s">
        <v>2751</v>
      </c>
      <c r="D160" s="5342" t="s">
        <v>2752</v>
      </c>
      <c r="E160" s="5342" t="s">
        <v>2753</v>
      </c>
      <c r="F160" s="5342" t="s">
        <v>2754</v>
      </c>
      <c r="G160" s="5342" t="s">
        <v>2755</v>
      </c>
      <c r="H160" s="5342" t="s">
        <v>24</v>
      </c>
      <c r="I160" s="5342" t="s">
        <v>709</v>
      </c>
    </row>
    <row customHeight="1" ht="11.25">
      <c r="A161" s="5342" t="s">
        <v>2182</v>
      </c>
      <c r="B161" s="5342" t="s">
        <v>14</v>
      </c>
      <c r="C161" s="5342" t="s">
        <v>2756</v>
      </c>
      <c r="D161" s="5342" t="s">
        <v>2757</v>
      </c>
      <c r="E161" s="5342" t="s">
        <v>2248</v>
      </c>
      <c r="F161" s="5342" t="s">
        <v>2742</v>
      </c>
      <c r="G161" s="5342" t="s">
        <v>24</v>
      </c>
      <c r="H161" s="5342" t="s">
        <v>24</v>
      </c>
      <c r="I161" s="5342" t="s">
        <v>709</v>
      </c>
    </row>
    <row customHeight="1" ht="11.25">
      <c r="A162" s="5342" t="s">
        <v>2182</v>
      </c>
      <c r="B162" s="5342" t="s">
        <v>14</v>
      </c>
      <c r="C162" s="5342" t="s">
        <v>2758</v>
      </c>
      <c r="D162" s="5342" t="s">
        <v>2759</v>
      </c>
      <c r="E162" s="5342" t="s">
        <v>2760</v>
      </c>
      <c r="F162" s="5342" t="s">
        <v>2761</v>
      </c>
      <c r="G162" s="5342" t="s">
        <v>24</v>
      </c>
      <c r="H162" s="5342" t="s">
        <v>24</v>
      </c>
      <c r="I162" s="5342" t="s">
        <v>709</v>
      </c>
    </row>
    <row customHeight="1" ht="11.25">
      <c r="A163" s="5342" t="s">
        <v>2182</v>
      </c>
      <c r="B163" s="5342" t="s">
        <v>14</v>
      </c>
      <c r="C163" s="5342" t="s">
        <v>2762</v>
      </c>
      <c r="D163" s="5342" t="s">
        <v>2763</v>
      </c>
      <c r="E163" s="5342" t="s">
        <v>2764</v>
      </c>
      <c r="F163" s="5342" t="s">
        <v>2765</v>
      </c>
      <c r="G163" s="5342" t="s">
        <v>24</v>
      </c>
      <c r="H163" s="5342" t="s">
        <v>24</v>
      </c>
      <c r="I163" s="5342" t="s">
        <v>709</v>
      </c>
    </row>
    <row customHeight="1" ht="11.25">
      <c r="A164" s="5342" t="s">
        <v>2182</v>
      </c>
      <c r="B164" s="5342" t="s">
        <v>14</v>
      </c>
      <c r="C164" s="5342" t="s">
        <v>2766</v>
      </c>
      <c r="D164" s="5342" t="s">
        <v>2767</v>
      </c>
      <c r="E164" s="5342" t="s">
        <v>2768</v>
      </c>
      <c r="F164" s="5342" t="s">
        <v>2769</v>
      </c>
      <c r="G164" s="5342" t="s">
        <v>24</v>
      </c>
      <c r="H164" s="5342" t="s">
        <v>24</v>
      </c>
      <c r="I164" s="5342" t="s">
        <v>709</v>
      </c>
    </row>
    <row customHeight="1" ht="11.25">
      <c r="A165" s="5342" t="s">
        <v>2182</v>
      </c>
      <c r="B165" s="5342" t="s">
        <v>14</v>
      </c>
      <c r="C165" s="5342" t="s">
        <v>2770</v>
      </c>
      <c r="D165" s="5342" t="s">
        <v>2771</v>
      </c>
      <c r="E165" s="5342" t="s">
        <v>2772</v>
      </c>
      <c r="F165" s="5342" t="s">
        <v>2773</v>
      </c>
      <c r="G165" s="5342" t="s">
        <v>24</v>
      </c>
      <c r="H165" s="5342" t="s">
        <v>24</v>
      </c>
      <c r="I165" s="5342" t="s">
        <v>709</v>
      </c>
    </row>
    <row customHeight="1" ht="11.25">
      <c r="A166" s="5342" t="s">
        <v>2182</v>
      </c>
      <c r="B166" s="5342" t="s">
        <v>14</v>
      </c>
      <c r="C166" s="5342" t="s">
        <v>2774</v>
      </c>
      <c r="D166" s="5342" t="s">
        <v>2775</v>
      </c>
      <c r="E166" s="5342" t="s">
        <v>2706</v>
      </c>
      <c r="F166" s="5342" t="s">
        <v>2776</v>
      </c>
      <c r="G166" s="5342" t="s">
        <v>24</v>
      </c>
      <c r="H166" s="5342" t="s">
        <v>24</v>
      </c>
      <c r="I166" s="5342" t="s">
        <v>709</v>
      </c>
    </row>
    <row customHeight="1" ht="11.25">
      <c r="A167" s="5342" t="s">
        <v>2182</v>
      </c>
      <c r="B167" s="5342" t="s">
        <v>14</v>
      </c>
      <c r="C167" s="5342" t="s">
        <v>2777</v>
      </c>
      <c r="D167" s="5342" t="s">
        <v>2778</v>
      </c>
      <c r="E167" s="5342" t="s">
        <v>2779</v>
      </c>
      <c r="F167" s="5342" t="s">
        <v>2773</v>
      </c>
      <c r="G167" s="5342" t="s">
        <v>2755</v>
      </c>
      <c r="H167" s="5342" t="s">
        <v>24</v>
      </c>
      <c r="I167" s="5342" t="s">
        <v>709</v>
      </c>
    </row>
    <row customHeight="1" ht="11.25">
      <c r="A168" s="5342" t="s">
        <v>2182</v>
      </c>
      <c r="B168" s="5342" t="s">
        <v>14</v>
      </c>
      <c r="C168" s="5342" t="s">
        <v>2233</v>
      </c>
      <c r="D168" s="5342" t="s">
        <v>2234</v>
      </c>
      <c r="E168" s="5342" t="s">
        <v>2235</v>
      </c>
      <c r="F168" s="5342" t="s">
        <v>2236</v>
      </c>
      <c r="G168" s="5342" t="s">
        <v>24</v>
      </c>
      <c r="H168" s="5342" t="s">
        <v>24</v>
      </c>
      <c r="I168" s="5342" t="s">
        <v>793</v>
      </c>
    </row>
    <row customHeight="1" ht="11.25">
      <c r="A169" s="5342" t="s">
        <v>2182</v>
      </c>
      <c r="B169" s="5342" t="s">
        <v>14</v>
      </c>
      <c r="C169" s="5342" t="s">
        <v>2237</v>
      </c>
      <c r="D169" s="5342" t="s">
        <v>2238</v>
      </c>
      <c r="E169" s="5342" t="s">
        <v>2239</v>
      </c>
      <c r="F169" s="5342" t="s">
        <v>2240</v>
      </c>
      <c r="G169" s="5342" t="s">
        <v>24</v>
      </c>
      <c r="H169" s="5342" t="s">
        <v>24</v>
      </c>
      <c r="I169" s="5342" t="s">
        <v>793</v>
      </c>
    </row>
    <row customHeight="1" ht="11.25">
      <c r="A170" s="5342" t="s">
        <v>2182</v>
      </c>
      <c r="B170" s="5342" t="s">
        <v>14</v>
      </c>
      <c r="C170" s="5342" t="s">
        <v>2246</v>
      </c>
      <c r="D170" s="5342" t="s">
        <v>2247</v>
      </c>
      <c r="E170" s="5342" t="s">
        <v>2248</v>
      </c>
      <c r="F170" s="5342" t="s">
        <v>2249</v>
      </c>
      <c r="G170" s="5342" t="s">
        <v>24</v>
      </c>
      <c r="H170" s="5342" t="s">
        <v>24</v>
      </c>
      <c r="I170" s="5342" t="s">
        <v>793</v>
      </c>
    </row>
    <row customHeight="1" ht="11.25">
      <c r="A171" s="5342" t="s">
        <v>2182</v>
      </c>
      <c r="B171" s="5342" t="s">
        <v>14</v>
      </c>
      <c r="C171" s="5342" t="s">
        <v>2272</v>
      </c>
      <c r="D171" s="5342" t="s">
        <v>2273</v>
      </c>
      <c r="E171" s="5342" t="s">
        <v>2274</v>
      </c>
      <c r="F171" s="5342" t="s">
        <v>2228</v>
      </c>
      <c r="G171" s="5342" t="s">
        <v>24</v>
      </c>
      <c r="H171" s="5342" t="s">
        <v>24</v>
      </c>
      <c r="I171" s="5342" t="s">
        <v>793</v>
      </c>
    </row>
    <row customHeight="1" ht="11.25">
      <c r="A172" s="5342" t="s">
        <v>2182</v>
      </c>
      <c r="B172" s="5342" t="s">
        <v>14</v>
      </c>
      <c r="C172" s="5342" t="s">
        <v>2275</v>
      </c>
      <c r="D172" s="5342" t="s">
        <v>2276</v>
      </c>
      <c r="E172" s="5342" t="s">
        <v>2277</v>
      </c>
      <c r="F172" s="5342" t="s">
        <v>2278</v>
      </c>
      <c r="G172" s="5342" t="s">
        <v>24</v>
      </c>
      <c r="H172" s="5342" t="s">
        <v>24</v>
      </c>
      <c r="I172" s="5342" t="s">
        <v>793</v>
      </c>
    </row>
    <row customHeight="1" ht="11.25">
      <c r="A173" s="5342" t="s">
        <v>2182</v>
      </c>
      <c r="B173" s="5342" t="s">
        <v>14</v>
      </c>
      <c r="C173" s="5342" t="s">
        <v>2306</v>
      </c>
      <c r="D173" s="5342" t="s">
        <v>2307</v>
      </c>
      <c r="E173" s="5342" t="s">
        <v>2308</v>
      </c>
      <c r="F173" s="5342" t="s">
        <v>2309</v>
      </c>
      <c r="G173" s="5342" t="s">
        <v>24</v>
      </c>
      <c r="H173" s="5342" t="s">
        <v>24</v>
      </c>
      <c r="I173" s="5342" t="s">
        <v>793</v>
      </c>
    </row>
    <row customHeight="1" ht="11.25">
      <c r="A174" s="5342" t="s">
        <v>2182</v>
      </c>
      <c r="B174" s="5342" t="s">
        <v>14</v>
      </c>
      <c r="C174" s="5342" t="s">
        <v>2310</v>
      </c>
      <c r="D174" s="5342" t="s">
        <v>2311</v>
      </c>
      <c r="E174" s="5342" t="s">
        <v>2312</v>
      </c>
      <c r="F174" s="5342" t="s">
        <v>2313</v>
      </c>
      <c r="G174" s="5342" t="s">
        <v>24</v>
      </c>
      <c r="H174" s="5342" t="s">
        <v>24</v>
      </c>
      <c r="I174" s="5342" t="s">
        <v>793</v>
      </c>
    </row>
    <row customHeight="1" ht="11.25">
      <c r="A175" s="5342" t="s">
        <v>2182</v>
      </c>
      <c r="B175" s="5342" t="s">
        <v>14</v>
      </c>
      <c r="C175" s="5342" t="s">
        <v>2314</v>
      </c>
      <c r="D175" s="5342" t="s">
        <v>2315</v>
      </c>
      <c r="E175" s="5342" t="s">
        <v>2316</v>
      </c>
      <c r="F175" s="5342" t="s">
        <v>2317</v>
      </c>
      <c r="G175" s="5342" t="s">
        <v>24</v>
      </c>
      <c r="H175" s="5342" t="s">
        <v>24</v>
      </c>
      <c r="I175" s="5342" t="s">
        <v>793</v>
      </c>
    </row>
    <row customHeight="1" ht="11.25">
      <c r="A176" s="5342" t="s">
        <v>2182</v>
      </c>
      <c r="B176" s="5342" t="s">
        <v>14</v>
      </c>
      <c r="C176" s="5342" t="s">
        <v>2322</v>
      </c>
      <c r="D176" s="5342" t="s">
        <v>2323</v>
      </c>
      <c r="E176" s="5342" t="s">
        <v>2324</v>
      </c>
      <c r="F176" s="5342" t="s">
        <v>2240</v>
      </c>
      <c r="G176" s="5342" t="s">
        <v>2325</v>
      </c>
      <c r="H176" s="5342" t="s">
        <v>24</v>
      </c>
      <c r="I176" s="5342" t="s">
        <v>793</v>
      </c>
    </row>
    <row customHeight="1" ht="11.25">
      <c r="A177" s="5342" t="s">
        <v>2182</v>
      </c>
      <c r="B177" s="5342" t="s">
        <v>14</v>
      </c>
      <c r="C177" s="5342" t="s">
        <v>2337</v>
      </c>
      <c r="D177" s="5342" t="s">
        <v>2338</v>
      </c>
      <c r="E177" s="5342" t="s">
        <v>2339</v>
      </c>
      <c r="F177" s="5342" t="s">
        <v>2317</v>
      </c>
      <c r="G177" s="5342" t="s">
        <v>24</v>
      </c>
      <c r="H177" s="5342" t="s">
        <v>24</v>
      </c>
      <c r="I177" s="5342" t="s">
        <v>793</v>
      </c>
    </row>
    <row customHeight="1" ht="11.25">
      <c r="A178" s="5342" t="s">
        <v>2182</v>
      </c>
      <c r="B178" s="5342" t="s">
        <v>14</v>
      </c>
      <c r="C178" s="5342" t="s">
        <v>2344</v>
      </c>
      <c r="D178" s="5342" t="s">
        <v>2345</v>
      </c>
      <c r="E178" s="5342" t="s">
        <v>2346</v>
      </c>
      <c r="F178" s="5342" t="s">
        <v>2301</v>
      </c>
      <c r="G178" s="5342" t="s">
        <v>2347</v>
      </c>
      <c r="H178" s="5342" t="s">
        <v>24</v>
      </c>
      <c r="I178" s="5342" t="s">
        <v>793</v>
      </c>
    </row>
    <row customHeight="1" ht="11.25">
      <c r="A179" s="5342" t="s">
        <v>2182</v>
      </c>
      <c r="B179" s="5342" t="s">
        <v>14</v>
      </c>
      <c r="C179" s="5342" t="s">
        <v>2348</v>
      </c>
      <c r="D179" s="5342" t="s">
        <v>2349</v>
      </c>
      <c r="E179" s="5342" t="s">
        <v>2350</v>
      </c>
      <c r="F179" s="5342" t="s">
        <v>2351</v>
      </c>
      <c r="G179" s="5342" t="s">
        <v>24</v>
      </c>
      <c r="H179" s="5342" t="s">
        <v>24</v>
      </c>
      <c r="I179" s="5342" t="s">
        <v>793</v>
      </c>
    </row>
    <row customHeight="1" ht="11.25">
      <c r="A180" s="5342" t="s">
        <v>2182</v>
      </c>
      <c r="B180" s="5342" t="s">
        <v>14</v>
      </c>
      <c r="C180" s="5342" t="s">
        <v>2356</v>
      </c>
      <c r="D180" s="5342" t="s">
        <v>2357</v>
      </c>
      <c r="E180" s="5342" t="s">
        <v>2358</v>
      </c>
      <c r="F180" s="5342" t="s">
        <v>2271</v>
      </c>
      <c r="G180" s="5342" t="s">
        <v>24</v>
      </c>
      <c r="H180" s="5342" t="s">
        <v>24</v>
      </c>
      <c r="I180" s="5342" t="s">
        <v>793</v>
      </c>
    </row>
    <row customHeight="1" ht="11.25">
      <c r="A181" s="5342" t="s">
        <v>2182</v>
      </c>
      <c r="B181" s="5342" t="s">
        <v>14</v>
      </c>
      <c r="C181" s="5342" t="s">
        <v>2363</v>
      </c>
      <c r="D181" s="5342" t="s">
        <v>2364</v>
      </c>
      <c r="E181" s="5342" t="s">
        <v>2365</v>
      </c>
      <c r="F181" s="5342" t="s">
        <v>2317</v>
      </c>
      <c r="G181" s="5342" t="s">
        <v>2366</v>
      </c>
      <c r="H181" s="5342" t="s">
        <v>24</v>
      </c>
      <c r="I181" s="5342" t="s">
        <v>793</v>
      </c>
    </row>
    <row customHeight="1" ht="11.25">
      <c r="A182" s="5342" t="s">
        <v>2182</v>
      </c>
      <c r="B182" s="5342" t="s">
        <v>14</v>
      </c>
      <c r="C182" s="5342" t="s">
        <v>2370</v>
      </c>
      <c r="D182" s="5342" t="s">
        <v>2371</v>
      </c>
      <c r="E182" s="5342" t="s">
        <v>2372</v>
      </c>
      <c r="F182" s="5342" t="s">
        <v>2373</v>
      </c>
      <c r="G182" s="5342" t="s">
        <v>24</v>
      </c>
      <c r="H182" s="5342" t="s">
        <v>24</v>
      </c>
      <c r="I182" s="5342" t="s">
        <v>793</v>
      </c>
    </row>
    <row customHeight="1" ht="11.25">
      <c r="A183" s="5342" t="s">
        <v>2182</v>
      </c>
      <c r="B183" s="5342" t="s">
        <v>14</v>
      </c>
      <c r="C183" s="5342" t="s">
        <v>2384</v>
      </c>
      <c r="D183" s="5342" t="s">
        <v>2385</v>
      </c>
      <c r="E183" s="5342" t="s">
        <v>2386</v>
      </c>
      <c r="F183" s="5342" t="s">
        <v>2223</v>
      </c>
      <c r="G183" s="5342" t="s">
        <v>24</v>
      </c>
      <c r="H183" s="5342" t="s">
        <v>24</v>
      </c>
      <c r="I183" s="5342" t="s">
        <v>793</v>
      </c>
    </row>
    <row customHeight="1" ht="11.25">
      <c r="A184" s="5342" t="s">
        <v>2182</v>
      </c>
      <c r="B184" s="5342" t="s">
        <v>14</v>
      </c>
      <c r="C184" s="5342" t="s">
        <v>2411</v>
      </c>
      <c r="D184" s="5342" t="s">
        <v>2412</v>
      </c>
      <c r="E184" s="5342" t="s">
        <v>2413</v>
      </c>
      <c r="F184" s="5342" t="s">
        <v>2414</v>
      </c>
      <c r="G184" s="5342" t="s">
        <v>24</v>
      </c>
      <c r="H184" s="5342" t="s">
        <v>24</v>
      </c>
      <c r="I184" s="5342" t="s">
        <v>793</v>
      </c>
    </row>
    <row customHeight="1" ht="11.25">
      <c r="A185" s="5342" t="s">
        <v>2182</v>
      </c>
      <c r="B185" s="5342" t="s">
        <v>14</v>
      </c>
      <c r="C185" s="5342" t="s">
        <v>2415</v>
      </c>
      <c r="D185" s="5342" t="s">
        <v>45</v>
      </c>
      <c r="E185" s="5342" t="s">
        <v>48</v>
      </c>
      <c r="F185" s="5342" t="s">
        <v>50</v>
      </c>
      <c r="G185" s="5342" t="s">
        <v>24</v>
      </c>
      <c r="H185" s="5342" t="s">
        <v>24</v>
      </c>
      <c r="I185" s="5342" t="s">
        <v>793</v>
      </c>
    </row>
    <row customHeight="1" ht="11.25">
      <c r="A186" s="5342" t="s">
        <v>2182</v>
      </c>
      <c r="B186" s="5342" t="s">
        <v>14</v>
      </c>
      <c r="C186" s="5342" t="s">
        <v>2416</v>
      </c>
      <c r="D186" s="5342" t="s">
        <v>2417</v>
      </c>
      <c r="E186" s="5342" t="s">
        <v>2418</v>
      </c>
      <c r="F186" s="5342" t="s">
        <v>2419</v>
      </c>
      <c r="G186" s="5342" t="s">
        <v>24</v>
      </c>
      <c r="H186" s="5342" t="s">
        <v>24</v>
      </c>
      <c r="I186" s="5342" t="s">
        <v>793</v>
      </c>
    </row>
    <row customHeight="1" ht="11.25">
      <c r="A187" s="5342" t="s">
        <v>2182</v>
      </c>
      <c r="B187" s="5342" t="s">
        <v>14</v>
      </c>
      <c r="C187" s="5342" t="s">
        <v>2443</v>
      </c>
      <c r="D187" s="5342" t="s">
        <v>2444</v>
      </c>
      <c r="E187" s="5342" t="s">
        <v>2445</v>
      </c>
      <c r="F187" s="5342" t="s">
        <v>2446</v>
      </c>
      <c r="G187" s="5342" t="s">
        <v>24</v>
      </c>
      <c r="H187" s="5342" t="s">
        <v>24</v>
      </c>
      <c r="I187" s="5342" t="s">
        <v>793</v>
      </c>
    </row>
    <row customHeight="1" ht="11.25">
      <c r="A188" s="5342" t="s">
        <v>2182</v>
      </c>
      <c r="B188" s="5342" t="s">
        <v>14</v>
      </c>
      <c r="C188" s="5342" t="s">
        <v>2481</v>
      </c>
      <c r="D188" s="5342" t="s">
        <v>2482</v>
      </c>
      <c r="E188" s="5342" t="s">
        <v>2483</v>
      </c>
      <c r="F188" s="5342" t="s">
        <v>2484</v>
      </c>
      <c r="G188" s="5342" t="s">
        <v>24</v>
      </c>
      <c r="H188" s="5342" t="s">
        <v>24</v>
      </c>
      <c r="I188" s="5342" t="s">
        <v>793</v>
      </c>
    </row>
    <row customHeight="1" ht="11.25">
      <c r="A189" s="5342" t="s">
        <v>2182</v>
      </c>
      <c r="B189" s="5342" t="s">
        <v>14</v>
      </c>
      <c r="C189" s="5342" t="s">
        <v>2489</v>
      </c>
      <c r="D189" s="5342" t="s">
        <v>2490</v>
      </c>
      <c r="E189" s="5342" t="s">
        <v>2491</v>
      </c>
      <c r="F189" s="5342" t="s">
        <v>2484</v>
      </c>
      <c r="G189" s="5342" t="s">
        <v>2492</v>
      </c>
      <c r="H189" s="5342" t="s">
        <v>24</v>
      </c>
      <c r="I189" s="5342" t="s">
        <v>793</v>
      </c>
    </row>
    <row customHeight="1" ht="11.25">
      <c r="A190" s="5342" t="s">
        <v>2182</v>
      </c>
      <c r="B190" s="5342" t="s">
        <v>14</v>
      </c>
      <c r="C190" s="5342" t="s">
        <v>2497</v>
      </c>
      <c r="D190" s="5342" t="s">
        <v>2498</v>
      </c>
      <c r="E190" s="5342" t="s">
        <v>2499</v>
      </c>
      <c r="F190" s="5342" t="s">
        <v>2186</v>
      </c>
      <c r="G190" s="5342" t="s">
        <v>2500</v>
      </c>
      <c r="H190" s="5342" t="s">
        <v>24</v>
      </c>
      <c r="I190" s="5342" t="s">
        <v>793</v>
      </c>
    </row>
    <row customHeight="1" ht="11.25">
      <c r="A191" s="5342" t="s">
        <v>2182</v>
      </c>
      <c r="B191" s="5342" t="s">
        <v>14</v>
      </c>
      <c r="C191" s="5342" t="s">
        <v>2505</v>
      </c>
      <c r="D191" s="5342" t="s">
        <v>2506</v>
      </c>
      <c r="E191" s="5342" t="s">
        <v>2507</v>
      </c>
      <c r="F191" s="5342" t="s">
        <v>2294</v>
      </c>
      <c r="G191" s="5342" t="s">
        <v>2508</v>
      </c>
      <c r="H191" s="5342" t="s">
        <v>24</v>
      </c>
      <c r="I191" s="5342" t="s">
        <v>793</v>
      </c>
    </row>
    <row customHeight="1" ht="11.25">
      <c r="A192" s="5342" t="s">
        <v>2182</v>
      </c>
      <c r="B192" s="5342" t="s">
        <v>14</v>
      </c>
      <c r="C192" s="5342" t="s">
        <v>2523</v>
      </c>
      <c r="D192" s="5342" t="s">
        <v>2524</v>
      </c>
      <c r="E192" s="5342" t="s">
        <v>2525</v>
      </c>
      <c r="F192" s="5342" t="s">
        <v>2249</v>
      </c>
      <c r="G192" s="5342" t="s">
        <v>24</v>
      </c>
      <c r="H192" s="5342" t="s">
        <v>24</v>
      </c>
      <c r="I192" s="5342" t="s">
        <v>793</v>
      </c>
    </row>
    <row customHeight="1" ht="11.25">
      <c r="A193" s="5342" t="s">
        <v>2182</v>
      </c>
      <c r="B193" s="5342" t="s">
        <v>14</v>
      </c>
      <c r="C193" s="5342" t="s">
        <v>2553</v>
      </c>
      <c r="D193" s="5342" t="s">
        <v>2554</v>
      </c>
      <c r="E193" s="5342" t="s">
        <v>2555</v>
      </c>
      <c r="F193" s="5342" t="s">
        <v>2186</v>
      </c>
      <c r="G193" s="5342" t="s">
        <v>24</v>
      </c>
      <c r="H193" s="5342" t="s">
        <v>24</v>
      </c>
      <c r="I193" s="5342" t="s">
        <v>793</v>
      </c>
    </row>
    <row customHeight="1" ht="11.25">
      <c r="A194" s="5342" t="s">
        <v>2182</v>
      </c>
      <c r="B194" s="5342" t="s">
        <v>14</v>
      </c>
      <c r="C194" s="5342" t="s">
        <v>2556</v>
      </c>
      <c r="D194" s="5342" t="s">
        <v>2557</v>
      </c>
      <c r="E194" s="5342" t="s">
        <v>2558</v>
      </c>
      <c r="F194" s="5342" t="s">
        <v>2249</v>
      </c>
      <c r="G194" s="5342" t="s">
        <v>2559</v>
      </c>
      <c r="H194" s="5342" t="s">
        <v>24</v>
      </c>
      <c r="I194" s="5342" t="s">
        <v>793</v>
      </c>
    </row>
    <row customHeight="1" ht="11.25">
      <c r="A195" s="5342" t="s">
        <v>2182</v>
      </c>
      <c r="B195" s="5342" t="s">
        <v>14</v>
      </c>
      <c r="C195" s="5342" t="s">
        <v>2560</v>
      </c>
      <c r="D195" s="5342" t="s">
        <v>2561</v>
      </c>
      <c r="E195" s="5342" t="s">
        <v>2562</v>
      </c>
      <c r="F195" s="5342" t="s">
        <v>2193</v>
      </c>
      <c r="G195" s="5342" t="s">
        <v>2563</v>
      </c>
      <c r="H195" s="5342" t="s">
        <v>24</v>
      </c>
      <c r="I195" s="5342" t="s">
        <v>793</v>
      </c>
    </row>
    <row customHeight="1" ht="11.25">
      <c r="A196" s="5342" t="s">
        <v>2182</v>
      </c>
      <c r="B196" s="5342" t="s">
        <v>14</v>
      </c>
      <c r="C196" s="5342" t="s">
        <v>2780</v>
      </c>
      <c r="D196" s="5342" t="s">
        <v>2781</v>
      </c>
      <c r="E196" s="5342" t="s">
        <v>2558</v>
      </c>
      <c r="F196" s="5342" t="s">
        <v>2488</v>
      </c>
      <c r="G196" s="5342" t="s">
        <v>2782</v>
      </c>
      <c r="H196" s="5342" t="s">
        <v>24</v>
      </c>
      <c r="I196" s="5342" t="s">
        <v>793</v>
      </c>
    </row>
    <row customHeight="1" ht="11.25">
      <c r="A197" s="5342" t="s">
        <v>2182</v>
      </c>
      <c r="B197" s="5342" t="s">
        <v>14</v>
      </c>
      <c r="C197" s="5342" t="s">
        <v>2570</v>
      </c>
      <c r="D197" s="5342" t="s">
        <v>2571</v>
      </c>
      <c r="E197" s="5342" t="s">
        <v>2572</v>
      </c>
      <c r="F197" s="5342" t="s">
        <v>2450</v>
      </c>
      <c r="G197" s="5342" t="s">
        <v>24</v>
      </c>
      <c r="H197" s="5342" t="s">
        <v>24</v>
      </c>
      <c r="I197" s="5342" t="s">
        <v>793</v>
      </c>
    </row>
    <row customHeight="1" ht="11.25">
      <c r="A198" s="5342" t="s">
        <v>2182</v>
      </c>
      <c r="B198" s="5342" t="s">
        <v>14</v>
      </c>
      <c r="C198" s="5342" t="s">
        <v>2582</v>
      </c>
      <c r="D198" s="5342" t="s">
        <v>2583</v>
      </c>
      <c r="E198" s="5342" t="s">
        <v>2575</v>
      </c>
      <c r="F198" s="5342" t="s">
        <v>2584</v>
      </c>
      <c r="G198" s="5342" t="s">
        <v>24</v>
      </c>
      <c r="H198" s="5342" t="s">
        <v>24</v>
      </c>
      <c r="I198" s="5342" t="s">
        <v>793</v>
      </c>
    </row>
    <row customHeight="1" ht="11.25">
      <c r="A199" s="5342" t="s">
        <v>2182</v>
      </c>
      <c r="B199" s="5342" t="s">
        <v>14</v>
      </c>
      <c r="C199" s="5342" t="s">
        <v>2621</v>
      </c>
      <c r="D199" s="5342" t="s">
        <v>2622</v>
      </c>
      <c r="E199" s="5342" t="s">
        <v>2623</v>
      </c>
      <c r="F199" s="5342" t="s">
        <v>2249</v>
      </c>
      <c r="G199" s="5342" t="s">
        <v>2624</v>
      </c>
      <c r="H199" s="5342" t="s">
        <v>24</v>
      </c>
      <c r="I199" s="5342" t="s">
        <v>793</v>
      </c>
    </row>
    <row customHeight="1" ht="11.25">
      <c r="A200" s="5342" t="s">
        <v>2182</v>
      </c>
      <c r="B200" s="5342" t="s">
        <v>14</v>
      </c>
      <c r="C200" s="5342" t="s">
        <v>2630</v>
      </c>
      <c r="D200" s="5342" t="s">
        <v>2631</v>
      </c>
      <c r="E200" s="5342" t="s">
        <v>2632</v>
      </c>
      <c r="F200" s="5342" t="s">
        <v>2484</v>
      </c>
      <c r="G200" s="5342" t="s">
        <v>24</v>
      </c>
      <c r="H200" s="5342" t="s">
        <v>24</v>
      </c>
      <c r="I200" s="5342" t="s">
        <v>793</v>
      </c>
    </row>
    <row customHeight="1" ht="11.25">
      <c r="A201" s="5342" t="s">
        <v>2182</v>
      </c>
      <c r="B201" s="5342" t="s">
        <v>14</v>
      </c>
      <c r="C201" s="5342" t="s">
        <v>2639</v>
      </c>
      <c r="D201" s="5342" t="s">
        <v>2640</v>
      </c>
      <c r="E201" s="5342" t="s">
        <v>2641</v>
      </c>
      <c r="F201" s="5342" t="s">
        <v>2642</v>
      </c>
      <c r="G201" s="5342" t="s">
        <v>24</v>
      </c>
      <c r="H201" s="5342" t="s">
        <v>24</v>
      </c>
      <c r="I201" s="5342" t="s">
        <v>793</v>
      </c>
    </row>
    <row customHeight="1" ht="11.25">
      <c r="A202" s="5342" t="s">
        <v>2182</v>
      </c>
      <c r="B202" s="5342" t="s">
        <v>14</v>
      </c>
      <c r="C202" s="5342" t="s">
        <v>2643</v>
      </c>
      <c r="D202" s="5342" t="s">
        <v>2644</v>
      </c>
      <c r="E202" s="5342" t="s">
        <v>2645</v>
      </c>
      <c r="F202" s="5342" t="s">
        <v>2309</v>
      </c>
      <c r="G202" s="5342" t="s">
        <v>2646</v>
      </c>
      <c r="H202" s="5342" t="s">
        <v>24</v>
      </c>
      <c r="I202" s="5342" t="s">
        <v>793</v>
      </c>
    </row>
    <row customHeight="1" ht="11.25">
      <c r="A203" s="5342" t="s">
        <v>2182</v>
      </c>
      <c r="B203" s="5342" t="s">
        <v>14</v>
      </c>
      <c r="C203" s="5342" t="s">
        <v>2654</v>
      </c>
      <c r="D203" s="5342" t="s">
        <v>2655</v>
      </c>
      <c r="E203" s="5342" t="s">
        <v>2656</v>
      </c>
      <c r="F203" s="5342" t="s">
        <v>2271</v>
      </c>
      <c r="G203" s="5342" t="s">
        <v>2657</v>
      </c>
      <c r="H203" s="5342" t="s">
        <v>24</v>
      </c>
      <c r="I203" s="5342" t="s">
        <v>793</v>
      </c>
    </row>
    <row customHeight="1" ht="11.25">
      <c r="A204" s="5342" t="s">
        <v>2182</v>
      </c>
      <c r="B204" s="5342" t="s">
        <v>14</v>
      </c>
      <c r="C204" s="5342" t="s">
        <v>2661</v>
      </c>
      <c r="D204" s="5342" t="s">
        <v>2662</v>
      </c>
      <c r="E204" s="5342" t="s">
        <v>2663</v>
      </c>
      <c r="F204" s="5342" t="s">
        <v>2642</v>
      </c>
      <c r="G204" s="5342" t="s">
        <v>24</v>
      </c>
      <c r="H204" s="5342" t="s">
        <v>24</v>
      </c>
      <c r="I204" s="5342" t="s">
        <v>793</v>
      </c>
    </row>
    <row customHeight="1" ht="11.25">
      <c r="A205" s="5342" t="s">
        <v>2182</v>
      </c>
      <c r="B205" s="5342" t="s">
        <v>14</v>
      </c>
      <c r="C205" s="5342" t="s">
        <v>2664</v>
      </c>
      <c r="D205" s="5342" t="s">
        <v>2665</v>
      </c>
      <c r="E205" s="5342" t="s">
        <v>2666</v>
      </c>
      <c r="F205" s="5342" t="s">
        <v>2667</v>
      </c>
      <c r="G205" s="5342" t="s">
        <v>24</v>
      </c>
      <c r="H205" s="5342" t="s">
        <v>24</v>
      </c>
      <c r="I205" s="5342" t="s">
        <v>793</v>
      </c>
    </row>
    <row customHeight="1" ht="11.25">
      <c r="A206" s="5342" t="s">
        <v>2182</v>
      </c>
      <c r="B206" s="5342" t="s">
        <v>14</v>
      </c>
      <c r="C206" s="5342" t="s">
        <v>2674</v>
      </c>
      <c r="D206" s="5342" t="s">
        <v>2675</v>
      </c>
      <c r="E206" s="5342" t="s">
        <v>2676</v>
      </c>
      <c r="F206" s="5342" t="s">
        <v>2253</v>
      </c>
      <c r="G206" s="5342" t="s">
        <v>24</v>
      </c>
      <c r="H206" s="5342" t="s">
        <v>24</v>
      </c>
      <c r="I206" s="5342" t="s">
        <v>793</v>
      </c>
    </row>
    <row customHeight="1" ht="11.25">
      <c r="A207" s="5342" t="s">
        <v>2182</v>
      </c>
      <c r="B207" s="5342" t="s">
        <v>14</v>
      </c>
      <c r="C207" s="5342" t="s">
        <v>2677</v>
      </c>
      <c r="D207" s="5342" t="s">
        <v>2678</v>
      </c>
      <c r="E207" s="5342" t="s">
        <v>2679</v>
      </c>
      <c r="F207" s="5342" t="s">
        <v>2680</v>
      </c>
      <c r="G207" s="5342" t="s">
        <v>24</v>
      </c>
      <c r="H207" s="5342" t="s">
        <v>24</v>
      </c>
      <c r="I207" s="5342" t="s">
        <v>793</v>
      </c>
    </row>
    <row customHeight="1" ht="11.25">
      <c r="A208" s="5342" t="s">
        <v>2182</v>
      </c>
      <c r="B208" s="5342" t="s">
        <v>14</v>
      </c>
      <c r="C208" s="5342" t="s">
        <v>24</v>
      </c>
      <c r="D208" s="5342" t="s">
        <v>2708</v>
      </c>
      <c r="E208" s="5342" t="s">
        <v>2709</v>
      </c>
      <c r="F208" s="5342" t="s">
        <v>2442</v>
      </c>
      <c r="G208" s="5342" t="s">
        <v>24</v>
      </c>
      <c r="H208" s="5342" t="s">
        <v>24</v>
      </c>
      <c r="I208" s="5342" t="s">
        <v>793</v>
      </c>
    </row>
    <row customHeight="1" ht="11.25">
      <c r="A209" s="5342" t="s">
        <v>2182</v>
      </c>
      <c r="B209" s="5342" t="s">
        <v>14</v>
      </c>
      <c r="C209" s="5342" t="s">
        <v>2714</v>
      </c>
      <c r="D209" s="5342" t="s">
        <v>2715</v>
      </c>
      <c r="E209" s="5342" t="s">
        <v>2716</v>
      </c>
      <c r="F209" s="5342" t="s">
        <v>2223</v>
      </c>
      <c r="G209" s="5342" t="s">
        <v>24</v>
      </c>
      <c r="H209" s="5342" t="s">
        <v>24</v>
      </c>
      <c r="I209" s="5342" t="s">
        <v>793</v>
      </c>
    </row>
    <row customHeight="1" ht="11.25">
      <c r="A210" s="5342" t="s">
        <v>2182</v>
      </c>
      <c r="B210" s="5342" t="s">
        <v>14</v>
      </c>
      <c r="C210" s="5342" t="s">
        <v>2717</v>
      </c>
      <c r="D210" s="5342" t="s">
        <v>2718</v>
      </c>
      <c r="E210" s="5342" t="s">
        <v>2712</v>
      </c>
      <c r="F210" s="5342" t="s">
        <v>2719</v>
      </c>
      <c r="G210" s="5342" t="s">
        <v>24</v>
      </c>
      <c r="H210" s="5342" t="s">
        <v>24</v>
      </c>
      <c r="I210" s="5342" t="s">
        <v>793</v>
      </c>
    </row>
    <row customHeight="1" ht="11.25">
      <c r="A211" s="5342" t="s">
        <v>2182</v>
      </c>
      <c r="B211" s="5342" t="s">
        <v>14</v>
      </c>
      <c r="C211" s="5342" t="s">
        <v>2743</v>
      </c>
      <c r="D211" s="5342" t="s">
        <v>2744</v>
      </c>
      <c r="E211" s="5342" t="s">
        <v>2745</v>
      </c>
      <c r="F211" s="5342" t="s">
        <v>2746</v>
      </c>
      <c r="G211" s="5342" t="s">
        <v>24</v>
      </c>
      <c r="H211" s="5342" t="s">
        <v>24</v>
      </c>
      <c r="I211" s="5342" t="s">
        <v>793</v>
      </c>
    </row>
    <row customHeight="1" ht="11.25">
      <c r="A212" s="5342" t="s">
        <v>2182</v>
      </c>
      <c r="B212" s="5342" t="s">
        <v>14</v>
      </c>
      <c r="C212" s="5342" t="s">
        <v>2747</v>
      </c>
      <c r="D212" s="5342" t="s">
        <v>2748</v>
      </c>
      <c r="E212" s="5342" t="s">
        <v>2745</v>
      </c>
      <c r="F212" s="5342" t="s">
        <v>2749</v>
      </c>
      <c r="G212" s="5342" t="s">
        <v>2750</v>
      </c>
      <c r="H212" s="5342" t="s">
        <v>24</v>
      </c>
      <c r="I212" s="5342" t="s">
        <v>793</v>
      </c>
    </row>
    <row customHeight="1" ht="11.25">
      <c r="A213" s="5342" t="s">
        <v>2182</v>
      </c>
      <c r="B213" s="5342" t="s">
        <v>14</v>
      </c>
      <c r="C213" s="5342" t="s">
        <v>2756</v>
      </c>
      <c r="D213" s="5342" t="s">
        <v>2757</v>
      </c>
      <c r="E213" s="5342" t="s">
        <v>2248</v>
      </c>
      <c r="F213" s="5342" t="s">
        <v>2742</v>
      </c>
      <c r="G213" s="5342" t="s">
        <v>24</v>
      </c>
      <c r="H213" s="5342" t="s">
        <v>24</v>
      </c>
      <c r="I213" s="5342" t="s">
        <v>793</v>
      </c>
    </row>
    <row customHeight="1" ht="11.25">
      <c r="A214" s="5342" t="s">
        <v>2182</v>
      </c>
      <c r="B214" s="5342" t="s">
        <v>14</v>
      </c>
      <c r="C214" s="5342" t="s">
        <v>2762</v>
      </c>
      <c r="D214" s="5342" t="s">
        <v>2763</v>
      </c>
      <c r="E214" s="5342" t="s">
        <v>2764</v>
      </c>
      <c r="F214" s="5342" t="s">
        <v>2765</v>
      </c>
      <c r="G214" s="5342" t="s">
        <v>24</v>
      </c>
      <c r="H214" s="5342" t="s">
        <v>24</v>
      </c>
      <c r="I214" s="5342" t="s">
        <v>793</v>
      </c>
    </row>
    <row customHeight="1" ht="11.25">
      <c r="A215" s="5342" t="s">
        <v>2182</v>
      </c>
      <c r="B215" s="5342" t="s">
        <v>14</v>
      </c>
      <c r="C215" s="5342" t="s">
        <v>2190</v>
      </c>
      <c r="D215" s="5342" t="s">
        <v>2191</v>
      </c>
      <c r="E215" s="5342" t="s">
        <v>2192</v>
      </c>
      <c r="F215" s="5342" t="s">
        <v>2193</v>
      </c>
      <c r="G215" s="5342" t="s">
        <v>24</v>
      </c>
      <c r="H215" s="5342" t="s">
        <v>24</v>
      </c>
      <c r="I215" s="5342" t="s">
        <v>755</v>
      </c>
    </row>
    <row customHeight="1" ht="11.25">
      <c r="A216" s="5342" t="s">
        <v>2182</v>
      </c>
      <c r="B216" s="5342" t="s">
        <v>14</v>
      </c>
      <c r="C216" s="5342" t="s">
        <v>2220</v>
      </c>
      <c r="D216" s="5342" t="s">
        <v>2221</v>
      </c>
      <c r="E216" s="5342" t="s">
        <v>2222</v>
      </c>
      <c r="F216" s="5342" t="s">
        <v>2223</v>
      </c>
      <c r="G216" s="5342" t="s">
        <v>2224</v>
      </c>
      <c r="H216" s="5342" t="s">
        <v>24</v>
      </c>
      <c r="I216" s="5342" t="s">
        <v>755</v>
      </c>
    </row>
    <row customHeight="1" ht="11.25">
      <c r="A217" s="5342" t="s">
        <v>2182</v>
      </c>
      <c r="B217" s="5342" t="s">
        <v>14</v>
      </c>
      <c r="C217" s="5342" t="s">
        <v>2783</v>
      </c>
      <c r="D217" s="5342" t="s">
        <v>2784</v>
      </c>
      <c r="E217" s="5342" t="s">
        <v>2785</v>
      </c>
      <c r="F217" s="5342" t="s">
        <v>2236</v>
      </c>
      <c r="G217" s="5342" t="s">
        <v>24</v>
      </c>
      <c r="H217" s="5342" t="s">
        <v>24</v>
      </c>
      <c r="I217" s="5342" t="s">
        <v>755</v>
      </c>
    </row>
    <row customHeight="1" ht="11.25">
      <c r="A218" s="5342" t="s">
        <v>2182</v>
      </c>
      <c r="B218" s="5342" t="s">
        <v>14</v>
      </c>
      <c r="C218" s="5342" t="s">
        <v>2786</v>
      </c>
      <c r="D218" s="5342" t="s">
        <v>2787</v>
      </c>
      <c r="E218" s="5342" t="s">
        <v>2788</v>
      </c>
      <c r="F218" s="5342" t="s">
        <v>2789</v>
      </c>
      <c r="G218" s="5342" t="s">
        <v>24</v>
      </c>
      <c r="H218" s="5342" t="s">
        <v>24</v>
      </c>
      <c r="I218" s="5342" t="s">
        <v>755</v>
      </c>
    </row>
    <row customHeight="1" ht="11.25">
      <c r="A219" s="5342" t="s">
        <v>2182</v>
      </c>
      <c r="B219" s="5342" t="s">
        <v>14</v>
      </c>
      <c r="C219" s="5342" t="s">
        <v>2257</v>
      </c>
      <c r="D219" s="5342" t="s">
        <v>2258</v>
      </c>
      <c r="E219" s="5342" t="s">
        <v>2259</v>
      </c>
      <c r="F219" s="5342" t="s">
        <v>2260</v>
      </c>
      <c r="G219" s="5342" t="s">
        <v>24</v>
      </c>
      <c r="H219" s="5342" t="s">
        <v>24</v>
      </c>
      <c r="I219" s="5342" t="s">
        <v>755</v>
      </c>
    </row>
    <row customHeight="1" ht="11.25">
      <c r="A220" s="5342" t="s">
        <v>2182</v>
      </c>
      <c r="B220" s="5342" t="s">
        <v>14</v>
      </c>
      <c r="C220" s="5342" t="s">
        <v>2790</v>
      </c>
      <c r="D220" s="5342" t="s">
        <v>2791</v>
      </c>
      <c r="E220" s="5342" t="s">
        <v>2792</v>
      </c>
      <c r="F220" s="5342" t="s">
        <v>2442</v>
      </c>
      <c r="G220" s="5342" t="s">
        <v>2793</v>
      </c>
      <c r="H220" s="5342" t="s">
        <v>24</v>
      </c>
      <c r="I220" s="5342" t="s">
        <v>755</v>
      </c>
    </row>
    <row customHeight="1" ht="11.25">
      <c r="A221" s="5342" t="s">
        <v>2182</v>
      </c>
      <c r="B221" s="5342" t="s">
        <v>14</v>
      </c>
      <c r="C221" s="5342" t="s">
        <v>2275</v>
      </c>
      <c r="D221" s="5342" t="s">
        <v>2276</v>
      </c>
      <c r="E221" s="5342" t="s">
        <v>2277</v>
      </c>
      <c r="F221" s="5342" t="s">
        <v>2278</v>
      </c>
      <c r="G221" s="5342" t="s">
        <v>24</v>
      </c>
      <c r="H221" s="5342" t="s">
        <v>24</v>
      </c>
      <c r="I221" s="5342" t="s">
        <v>755</v>
      </c>
    </row>
    <row customHeight="1" ht="11.25">
      <c r="A222" s="5342" t="s">
        <v>2182</v>
      </c>
      <c r="B222" s="5342" t="s">
        <v>14</v>
      </c>
      <c r="C222" s="5342" t="s">
        <v>2794</v>
      </c>
      <c r="D222" s="5342" t="s">
        <v>2795</v>
      </c>
      <c r="E222" s="5342" t="s">
        <v>2796</v>
      </c>
      <c r="F222" s="5342" t="s">
        <v>2442</v>
      </c>
      <c r="G222" s="5342" t="s">
        <v>2797</v>
      </c>
      <c r="H222" s="5342" t="s">
        <v>24</v>
      </c>
      <c r="I222" s="5342" t="s">
        <v>755</v>
      </c>
    </row>
    <row customHeight="1" ht="11.25">
      <c r="A223" s="5342" t="s">
        <v>2182</v>
      </c>
      <c r="B223" s="5342" t="s">
        <v>14</v>
      </c>
      <c r="C223" s="5342" t="s">
        <v>2798</v>
      </c>
      <c r="D223" s="5342" t="s">
        <v>2799</v>
      </c>
      <c r="E223" s="5342" t="s">
        <v>2800</v>
      </c>
      <c r="F223" s="5342" t="s">
        <v>2373</v>
      </c>
      <c r="G223" s="5342" t="s">
        <v>24</v>
      </c>
      <c r="H223" s="5342" t="s">
        <v>24</v>
      </c>
      <c r="I223" s="5342" t="s">
        <v>755</v>
      </c>
    </row>
    <row customHeight="1" ht="11.25">
      <c r="A224" s="5342" t="s">
        <v>2182</v>
      </c>
      <c r="B224" s="5342" t="s">
        <v>14</v>
      </c>
      <c r="C224" s="5342" t="s">
        <v>2801</v>
      </c>
      <c r="D224" s="5342" t="s">
        <v>2802</v>
      </c>
      <c r="E224" s="5342" t="s">
        <v>2803</v>
      </c>
      <c r="F224" s="5342" t="s">
        <v>562</v>
      </c>
      <c r="G224" s="5342" t="s">
        <v>24</v>
      </c>
      <c r="H224" s="5342" t="s">
        <v>24</v>
      </c>
      <c r="I224" s="5342" t="s">
        <v>755</v>
      </c>
    </row>
    <row customHeight="1" ht="11.25">
      <c r="A225" s="5342" t="s">
        <v>2182</v>
      </c>
      <c r="B225" s="5342" t="s">
        <v>14</v>
      </c>
      <c r="C225" s="5342" t="s">
        <v>2804</v>
      </c>
      <c r="D225" s="5342" t="s">
        <v>2805</v>
      </c>
      <c r="E225" s="5342" t="s">
        <v>2806</v>
      </c>
      <c r="F225" s="5342" t="s">
        <v>2446</v>
      </c>
      <c r="G225" s="5342" t="s">
        <v>2807</v>
      </c>
      <c r="H225" s="5342" t="s">
        <v>24</v>
      </c>
      <c r="I225" s="5342" t="s">
        <v>755</v>
      </c>
    </row>
    <row customHeight="1" ht="11.25">
      <c r="A226" s="5342" t="s">
        <v>2182</v>
      </c>
      <c r="B226" s="5342" t="s">
        <v>14</v>
      </c>
      <c r="C226" s="5342" t="s">
        <v>2295</v>
      </c>
      <c r="D226" s="5342" t="s">
        <v>2296</v>
      </c>
      <c r="E226" s="5342" t="s">
        <v>2297</v>
      </c>
      <c r="F226" s="5342" t="s">
        <v>50</v>
      </c>
      <c r="G226" s="5342" t="s">
        <v>24</v>
      </c>
      <c r="H226" s="5342" t="s">
        <v>24</v>
      </c>
      <c r="I226" s="5342" t="s">
        <v>755</v>
      </c>
    </row>
    <row customHeight="1" ht="11.25">
      <c r="A227" s="5342" t="s">
        <v>2182</v>
      </c>
      <c r="B227" s="5342" t="s">
        <v>14</v>
      </c>
      <c r="C227" s="5342" t="s">
        <v>2808</v>
      </c>
      <c r="D227" s="5342" t="s">
        <v>2809</v>
      </c>
      <c r="E227" s="5342" t="s">
        <v>2810</v>
      </c>
      <c r="F227" s="5342" t="s">
        <v>2811</v>
      </c>
      <c r="G227" s="5342" t="s">
        <v>24</v>
      </c>
      <c r="H227" s="5342" t="s">
        <v>24</v>
      </c>
      <c r="I227" s="5342" t="s">
        <v>755</v>
      </c>
    </row>
    <row customHeight="1" ht="11.25">
      <c r="A228" s="5342" t="s">
        <v>2182</v>
      </c>
      <c r="B228" s="5342" t="s">
        <v>14</v>
      </c>
      <c r="C228" s="5342" t="s">
        <v>2812</v>
      </c>
      <c r="D228" s="5342" t="s">
        <v>2813</v>
      </c>
      <c r="E228" s="5342" t="s">
        <v>2814</v>
      </c>
      <c r="F228" s="5342" t="s">
        <v>2294</v>
      </c>
      <c r="G228" s="5342" t="s">
        <v>2620</v>
      </c>
      <c r="H228" s="5342" t="s">
        <v>24</v>
      </c>
      <c r="I228" s="5342" t="s">
        <v>755</v>
      </c>
    </row>
    <row customHeight="1" ht="11.25">
      <c r="A229" s="5342" t="s">
        <v>2182</v>
      </c>
      <c r="B229" s="5342" t="s">
        <v>14</v>
      </c>
      <c r="C229" s="5342" t="s">
        <v>2815</v>
      </c>
      <c r="D229" s="5342" t="s">
        <v>2816</v>
      </c>
      <c r="E229" s="5342" t="s">
        <v>2817</v>
      </c>
      <c r="F229" s="5342" t="s">
        <v>2818</v>
      </c>
      <c r="G229" s="5342" t="s">
        <v>24</v>
      </c>
      <c r="H229" s="5342" t="s">
        <v>24</v>
      </c>
      <c r="I229" s="5342" t="s">
        <v>755</v>
      </c>
    </row>
    <row customHeight="1" ht="11.25">
      <c r="A230" s="5342" t="s">
        <v>2182</v>
      </c>
      <c r="B230" s="5342" t="s">
        <v>14</v>
      </c>
      <c r="C230" s="5342" t="s">
        <v>2310</v>
      </c>
      <c r="D230" s="5342" t="s">
        <v>2311</v>
      </c>
      <c r="E230" s="5342" t="s">
        <v>2312</v>
      </c>
      <c r="F230" s="5342" t="s">
        <v>2313</v>
      </c>
      <c r="G230" s="5342" t="s">
        <v>24</v>
      </c>
      <c r="H230" s="5342" t="s">
        <v>24</v>
      </c>
      <c r="I230" s="5342" t="s">
        <v>755</v>
      </c>
    </row>
    <row customHeight="1" ht="11.25">
      <c r="A231" s="5342" t="s">
        <v>2182</v>
      </c>
      <c r="B231" s="5342" t="s">
        <v>14</v>
      </c>
      <c r="C231" s="5342" t="s">
        <v>2314</v>
      </c>
      <c r="D231" s="5342" t="s">
        <v>2315</v>
      </c>
      <c r="E231" s="5342" t="s">
        <v>2316</v>
      </c>
      <c r="F231" s="5342" t="s">
        <v>2317</v>
      </c>
      <c r="G231" s="5342" t="s">
        <v>24</v>
      </c>
      <c r="H231" s="5342" t="s">
        <v>24</v>
      </c>
      <c r="I231" s="5342" t="s">
        <v>755</v>
      </c>
    </row>
    <row customHeight="1" ht="11.25">
      <c r="A232" s="5342" t="s">
        <v>2182</v>
      </c>
      <c r="B232" s="5342" t="s">
        <v>14</v>
      </c>
      <c r="C232" s="5342" t="s">
        <v>2819</v>
      </c>
      <c r="D232" s="5342" t="s">
        <v>2820</v>
      </c>
      <c r="E232" s="5342" t="s">
        <v>2821</v>
      </c>
      <c r="F232" s="5342" t="s">
        <v>2406</v>
      </c>
      <c r="G232" s="5342" t="s">
        <v>24</v>
      </c>
      <c r="H232" s="5342" t="s">
        <v>24</v>
      </c>
      <c r="I232" s="5342" t="s">
        <v>755</v>
      </c>
    </row>
    <row customHeight="1" ht="11.25">
      <c r="A233" s="5342" t="s">
        <v>2182</v>
      </c>
      <c r="B233" s="5342" t="s">
        <v>14</v>
      </c>
      <c r="C233" s="5342" t="s">
        <v>2318</v>
      </c>
      <c r="D233" s="5342" t="s">
        <v>2319</v>
      </c>
      <c r="E233" s="5342" t="s">
        <v>2320</v>
      </c>
      <c r="F233" s="5342" t="s">
        <v>2321</v>
      </c>
      <c r="G233" s="5342" t="s">
        <v>24</v>
      </c>
      <c r="H233" s="5342" t="s">
        <v>24</v>
      </c>
      <c r="I233" s="5342" t="s">
        <v>755</v>
      </c>
    </row>
    <row customHeight="1" ht="11.25">
      <c r="A234" s="5342" t="s">
        <v>2182</v>
      </c>
      <c r="B234" s="5342" t="s">
        <v>14</v>
      </c>
      <c r="C234" s="5342" t="s">
        <v>2822</v>
      </c>
      <c r="D234" s="5342" t="s">
        <v>2823</v>
      </c>
      <c r="E234" s="5342" t="s">
        <v>2824</v>
      </c>
      <c r="F234" s="5342" t="s">
        <v>2373</v>
      </c>
      <c r="G234" s="5342" t="s">
        <v>2825</v>
      </c>
      <c r="H234" s="5342" t="s">
        <v>24</v>
      </c>
      <c r="I234" s="5342" t="s">
        <v>755</v>
      </c>
    </row>
    <row customHeight="1" ht="11.25">
      <c r="A235" s="5342" t="s">
        <v>2182</v>
      </c>
      <c r="B235" s="5342" t="s">
        <v>14</v>
      </c>
      <c r="C235" s="5342" t="s">
        <v>2826</v>
      </c>
      <c r="D235" s="5342" t="s">
        <v>2827</v>
      </c>
      <c r="E235" s="5342" t="s">
        <v>2828</v>
      </c>
      <c r="F235" s="5342" t="s">
        <v>2619</v>
      </c>
      <c r="G235" s="5342" t="s">
        <v>2829</v>
      </c>
      <c r="H235" s="5342" t="s">
        <v>24</v>
      </c>
      <c r="I235" s="5342" t="s">
        <v>755</v>
      </c>
    </row>
    <row customHeight="1" ht="11.25">
      <c r="A236" s="5342" t="s">
        <v>2182</v>
      </c>
      <c r="B236" s="5342" t="s">
        <v>14</v>
      </c>
      <c r="C236" s="5342" t="s">
        <v>2830</v>
      </c>
      <c r="D236" s="5342" t="s">
        <v>2827</v>
      </c>
      <c r="E236" s="5342" t="s">
        <v>2831</v>
      </c>
      <c r="F236" s="5342" t="s">
        <v>2438</v>
      </c>
      <c r="G236" s="5342" t="s">
        <v>24</v>
      </c>
      <c r="H236" s="5342" t="s">
        <v>24</v>
      </c>
      <c r="I236" s="5342" t="s">
        <v>755</v>
      </c>
    </row>
    <row customHeight="1" ht="11.25">
      <c r="A237" s="5342" t="s">
        <v>2182</v>
      </c>
      <c r="B237" s="5342" t="s">
        <v>14</v>
      </c>
      <c r="C237" s="5342" t="s">
        <v>2832</v>
      </c>
      <c r="D237" s="5342" t="s">
        <v>2827</v>
      </c>
      <c r="E237" s="5342" t="s">
        <v>2833</v>
      </c>
      <c r="F237" s="5342" t="s">
        <v>2834</v>
      </c>
      <c r="G237" s="5342" t="s">
        <v>24</v>
      </c>
      <c r="H237" s="5342" t="s">
        <v>24</v>
      </c>
      <c r="I237" s="5342" t="s">
        <v>755</v>
      </c>
    </row>
    <row customHeight="1" ht="11.25">
      <c r="A238" s="5342" t="s">
        <v>2182</v>
      </c>
      <c r="B238" s="5342" t="s">
        <v>14</v>
      </c>
      <c r="C238" s="5342" t="s">
        <v>2835</v>
      </c>
      <c r="D238" s="5342" t="s">
        <v>2836</v>
      </c>
      <c r="E238" s="5342" t="s">
        <v>2837</v>
      </c>
      <c r="F238" s="5342" t="s">
        <v>2680</v>
      </c>
      <c r="G238" s="5342" t="s">
        <v>24</v>
      </c>
      <c r="H238" s="5342" t="s">
        <v>2838</v>
      </c>
      <c r="I238" s="5342" t="s">
        <v>755</v>
      </c>
    </row>
    <row customHeight="1" ht="11.25">
      <c r="A239" s="5342" t="s">
        <v>2182</v>
      </c>
      <c r="B239" s="5342" t="s">
        <v>14</v>
      </c>
      <c r="C239" s="5342" t="s">
        <v>2839</v>
      </c>
      <c r="D239" s="5342" t="s">
        <v>2840</v>
      </c>
      <c r="E239" s="5342" t="s">
        <v>2841</v>
      </c>
      <c r="F239" s="5342" t="s">
        <v>2271</v>
      </c>
      <c r="G239" s="5342" t="s">
        <v>24</v>
      </c>
      <c r="H239" s="5342" t="s">
        <v>24</v>
      </c>
      <c r="I239" s="5342" t="s">
        <v>755</v>
      </c>
    </row>
    <row customHeight="1" ht="11.25">
      <c r="A240" s="5342" t="s">
        <v>2182</v>
      </c>
      <c r="B240" s="5342" t="s">
        <v>14</v>
      </c>
      <c r="C240" s="5342" t="s">
        <v>2842</v>
      </c>
      <c r="D240" s="5342" t="s">
        <v>2843</v>
      </c>
      <c r="E240" s="5342" t="s">
        <v>2844</v>
      </c>
      <c r="F240" s="5342" t="s">
        <v>2406</v>
      </c>
      <c r="G240" s="5342" t="s">
        <v>24</v>
      </c>
      <c r="H240" s="5342" t="s">
        <v>24</v>
      </c>
      <c r="I240" s="5342" t="s">
        <v>755</v>
      </c>
    </row>
    <row customHeight="1" ht="11.25">
      <c r="A241" s="5342" t="s">
        <v>2182</v>
      </c>
      <c r="B241" s="5342" t="s">
        <v>14</v>
      </c>
      <c r="C241" s="5342" t="s">
        <v>2845</v>
      </c>
      <c r="D241" s="5342" t="s">
        <v>2846</v>
      </c>
      <c r="E241" s="5342" t="s">
        <v>2847</v>
      </c>
      <c r="F241" s="5342" t="s">
        <v>2848</v>
      </c>
      <c r="G241" s="5342" t="s">
        <v>2849</v>
      </c>
      <c r="H241" s="5342" t="s">
        <v>24</v>
      </c>
      <c r="I241" s="5342" t="s">
        <v>755</v>
      </c>
    </row>
    <row customHeight="1" ht="11.25">
      <c r="A242" s="5342" t="s">
        <v>2182</v>
      </c>
      <c r="B242" s="5342" t="s">
        <v>14</v>
      </c>
      <c r="C242" s="5342" t="s">
        <v>2850</v>
      </c>
      <c r="D242" s="5342" t="s">
        <v>2851</v>
      </c>
      <c r="E242" s="5342" t="s">
        <v>2852</v>
      </c>
      <c r="F242" s="5342" t="s">
        <v>2610</v>
      </c>
      <c r="G242" s="5342" t="s">
        <v>24</v>
      </c>
      <c r="H242" s="5342" t="s">
        <v>24</v>
      </c>
      <c r="I242" s="5342" t="s">
        <v>755</v>
      </c>
    </row>
    <row customHeight="1" ht="11.25">
      <c r="A243" s="5342" t="s">
        <v>2182</v>
      </c>
      <c r="B243" s="5342" t="s">
        <v>14</v>
      </c>
      <c r="C243" s="5342" t="s">
        <v>2853</v>
      </c>
      <c r="D243" s="5342" t="s">
        <v>2854</v>
      </c>
      <c r="E243" s="5342" t="s">
        <v>2855</v>
      </c>
      <c r="F243" s="5342" t="s">
        <v>2294</v>
      </c>
      <c r="G243" s="5342" t="s">
        <v>24</v>
      </c>
      <c r="H243" s="5342" t="s">
        <v>24</v>
      </c>
      <c r="I243" s="5342" t="s">
        <v>755</v>
      </c>
    </row>
    <row customHeight="1" ht="11.25">
      <c r="A244" s="5342" t="s">
        <v>2182</v>
      </c>
      <c r="B244" s="5342" t="s">
        <v>14</v>
      </c>
      <c r="C244" s="5342" t="s">
        <v>2856</v>
      </c>
      <c r="D244" s="5342" t="s">
        <v>2857</v>
      </c>
      <c r="E244" s="5342" t="s">
        <v>2858</v>
      </c>
      <c r="F244" s="5342" t="s">
        <v>2390</v>
      </c>
      <c r="G244" s="5342" t="s">
        <v>2859</v>
      </c>
      <c r="H244" s="5342" t="s">
        <v>24</v>
      </c>
      <c r="I244" s="5342" t="s">
        <v>755</v>
      </c>
    </row>
    <row customHeight="1" ht="11.25">
      <c r="A245" s="5342" t="s">
        <v>2182</v>
      </c>
      <c r="B245" s="5342" t="s">
        <v>14</v>
      </c>
      <c r="C245" s="5342" t="s">
        <v>2860</v>
      </c>
      <c r="D245" s="5342" t="s">
        <v>2861</v>
      </c>
      <c r="E245" s="5342" t="s">
        <v>2862</v>
      </c>
      <c r="F245" s="5342" t="s">
        <v>2414</v>
      </c>
      <c r="G245" s="5342" t="s">
        <v>24</v>
      </c>
      <c r="H245" s="5342" t="s">
        <v>24</v>
      </c>
      <c r="I245" s="5342" t="s">
        <v>755</v>
      </c>
    </row>
    <row customHeight="1" ht="11.25">
      <c r="A246" s="5342" t="s">
        <v>2182</v>
      </c>
      <c r="B246" s="5342" t="s">
        <v>14</v>
      </c>
      <c r="C246" s="5342" t="s">
        <v>2863</v>
      </c>
      <c r="D246" s="5342" t="s">
        <v>2864</v>
      </c>
      <c r="E246" s="5342" t="s">
        <v>2865</v>
      </c>
      <c r="F246" s="5342" t="s">
        <v>2545</v>
      </c>
      <c r="G246" s="5342" t="s">
        <v>2866</v>
      </c>
      <c r="H246" s="5342" t="s">
        <v>24</v>
      </c>
      <c r="I246" s="5342" t="s">
        <v>755</v>
      </c>
    </row>
    <row customHeight="1" ht="11.25">
      <c r="A247" s="5342" t="s">
        <v>2182</v>
      </c>
      <c r="B247" s="5342" t="s">
        <v>14</v>
      </c>
      <c r="C247" s="5342" t="s">
        <v>2867</v>
      </c>
      <c r="D247" s="5342" t="s">
        <v>2868</v>
      </c>
      <c r="E247" s="5342" t="s">
        <v>2869</v>
      </c>
      <c r="F247" s="5342" t="s">
        <v>2680</v>
      </c>
      <c r="G247" s="5342" t="s">
        <v>2870</v>
      </c>
      <c r="H247" s="5342" t="s">
        <v>24</v>
      </c>
      <c r="I247" s="5342" t="s">
        <v>755</v>
      </c>
    </row>
    <row customHeight="1" ht="11.25">
      <c r="A248" s="5342" t="s">
        <v>2182</v>
      </c>
      <c r="B248" s="5342" t="s">
        <v>14</v>
      </c>
      <c r="C248" s="5342" t="s">
        <v>2381</v>
      </c>
      <c r="D248" s="5342" t="s">
        <v>2382</v>
      </c>
      <c r="E248" s="5342" t="s">
        <v>2383</v>
      </c>
      <c r="F248" s="5342" t="s">
        <v>2240</v>
      </c>
      <c r="G248" s="5342" t="s">
        <v>24</v>
      </c>
      <c r="H248" s="5342" t="s">
        <v>24</v>
      </c>
      <c r="I248" s="5342" t="s">
        <v>755</v>
      </c>
    </row>
    <row customHeight="1" ht="11.25">
      <c r="A249" s="5342" t="s">
        <v>2182</v>
      </c>
      <c r="B249" s="5342" t="s">
        <v>14</v>
      </c>
      <c r="C249" s="5342" t="s">
        <v>2871</v>
      </c>
      <c r="D249" s="5342" t="s">
        <v>2872</v>
      </c>
      <c r="E249" s="5342" t="s">
        <v>2873</v>
      </c>
      <c r="F249" s="5342" t="s">
        <v>2414</v>
      </c>
      <c r="G249" s="5342" t="s">
        <v>24</v>
      </c>
      <c r="H249" s="5342" t="s">
        <v>24</v>
      </c>
      <c r="I249" s="5342" t="s">
        <v>755</v>
      </c>
    </row>
    <row customHeight="1" ht="11.25">
      <c r="A250" s="5342" t="s">
        <v>2182</v>
      </c>
      <c r="B250" s="5342" t="s">
        <v>14</v>
      </c>
      <c r="C250" s="5342" t="s">
        <v>2391</v>
      </c>
      <c r="D250" s="5342" t="s">
        <v>2392</v>
      </c>
      <c r="E250" s="5342" t="s">
        <v>2393</v>
      </c>
      <c r="F250" s="5342" t="s">
        <v>2394</v>
      </c>
      <c r="G250" s="5342" t="s">
        <v>24</v>
      </c>
      <c r="H250" s="5342" t="s">
        <v>24</v>
      </c>
      <c r="I250" s="5342" t="s">
        <v>755</v>
      </c>
    </row>
    <row customHeight="1" ht="11.25">
      <c r="A251" s="5342" t="s">
        <v>2182</v>
      </c>
      <c r="B251" s="5342" t="s">
        <v>14</v>
      </c>
      <c r="C251" s="5342" t="s">
        <v>2874</v>
      </c>
      <c r="D251" s="5342" t="s">
        <v>2875</v>
      </c>
      <c r="E251" s="5342" t="s">
        <v>2876</v>
      </c>
      <c r="F251" s="5342" t="s">
        <v>2305</v>
      </c>
      <c r="G251" s="5342" t="s">
        <v>24</v>
      </c>
      <c r="H251" s="5342" t="s">
        <v>24</v>
      </c>
      <c r="I251" s="5342" t="s">
        <v>755</v>
      </c>
    </row>
    <row customHeight="1" ht="11.25">
      <c r="A252" s="5342" t="s">
        <v>2182</v>
      </c>
      <c r="B252" s="5342" t="s">
        <v>14</v>
      </c>
      <c r="C252" s="5342" t="s">
        <v>2877</v>
      </c>
      <c r="D252" s="5342" t="s">
        <v>2878</v>
      </c>
      <c r="E252" s="5342" t="s">
        <v>2879</v>
      </c>
      <c r="F252" s="5342" t="s">
        <v>2739</v>
      </c>
      <c r="G252" s="5342" t="s">
        <v>2880</v>
      </c>
      <c r="H252" s="5342" t="s">
        <v>24</v>
      </c>
      <c r="I252" s="5342" t="s">
        <v>755</v>
      </c>
    </row>
    <row customHeight="1" ht="11.25">
      <c r="A253" s="5342" t="s">
        <v>2182</v>
      </c>
      <c r="B253" s="5342" t="s">
        <v>14</v>
      </c>
      <c r="C253" s="5342" t="s">
        <v>2881</v>
      </c>
      <c r="D253" s="5342" t="s">
        <v>2882</v>
      </c>
      <c r="E253" s="5342" t="s">
        <v>2883</v>
      </c>
      <c r="F253" s="5342" t="s">
        <v>2362</v>
      </c>
      <c r="G253" s="5342" t="s">
        <v>24</v>
      </c>
      <c r="H253" s="5342" t="s">
        <v>24</v>
      </c>
      <c r="I253" s="5342" t="s">
        <v>755</v>
      </c>
    </row>
    <row customHeight="1" ht="11.25">
      <c r="A254" s="5342" t="s">
        <v>2182</v>
      </c>
      <c r="B254" s="5342" t="s">
        <v>14</v>
      </c>
      <c r="C254" s="5342" t="s">
        <v>2884</v>
      </c>
      <c r="D254" s="5342" t="s">
        <v>2885</v>
      </c>
      <c r="E254" s="5342" t="s">
        <v>2886</v>
      </c>
      <c r="F254" s="5342" t="s">
        <v>2402</v>
      </c>
      <c r="G254" s="5342" t="s">
        <v>24</v>
      </c>
      <c r="H254" s="5342" t="s">
        <v>24</v>
      </c>
      <c r="I254" s="5342" t="s">
        <v>755</v>
      </c>
    </row>
    <row customHeight="1" ht="11.25">
      <c r="A255" s="5342" t="s">
        <v>2182</v>
      </c>
      <c r="B255" s="5342" t="s">
        <v>14</v>
      </c>
      <c r="C255" s="5342" t="s">
        <v>2887</v>
      </c>
      <c r="D255" s="5342" t="s">
        <v>2888</v>
      </c>
      <c r="E255" s="5342" t="s">
        <v>2889</v>
      </c>
      <c r="F255" s="5342" t="s">
        <v>2890</v>
      </c>
      <c r="G255" s="5342" t="s">
        <v>2891</v>
      </c>
      <c r="H255" s="5342" t="s">
        <v>24</v>
      </c>
      <c r="I255" s="5342" t="s">
        <v>755</v>
      </c>
    </row>
    <row customHeight="1" ht="11.25">
      <c r="A256" s="5342" t="s">
        <v>2182</v>
      </c>
      <c r="B256" s="5342" t="s">
        <v>14</v>
      </c>
      <c r="C256" s="5342" t="s">
        <v>2892</v>
      </c>
      <c r="D256" s="5342" t="s">
        <v>2893</v>
      </c>
      <c r="E256" s="5342" t="s">
        <v>2894</v>
      </c>
      <c r="F256" s="5342" t="s">
        <v>2895</v>
      </c>
      <c r="G256" s="5342" t="s">
        <v>24</v>
      </c>
      <c r="H256" s="5342" t="s">
        <v>24</v>
      </c>
      <c r="I256" s="5342" t="s">
        <v>755</v>
      </c>
    </row>
    <row customHeight="1" ht="11.25">
      <c r="A257" s="5342" t="s">
        <v>2182</v>
      </c>
      <c r="B257" s="5342" t="s">
        <v>14</v>
      </c>
      <c r="C257" s="5342" t="s">
        <v>2896</v>
      </c>
      <c r="D257" s="5342" t="s">
        <v>2897</v>
      </c>
      <c r="E257" s="5342" t="s">
        <v>2898</v>
      </c>
      <c r="F257" s="5342" t="s">
        <v>2446</v>
      </c>
      <c r="G257" s="5342" t="s">
        <v>2899</v>
      </c>
      <c r="H257" s="5342" t="s">
        <v>24</v>
      </c>
      <c r="I257" s="5342" t="s">
        <v>755</v>
      </c>
    </row>
    <row customHeight="1" ht="11.25">
      <c r="A258" s="5342" t="s">
        <v>2182</v>
      </c>
      <c r="B258" s="5342" t="s">
        <v>14</v>
      </c>
      <c r="C258" s="5342" t="s">
        <v>2395</v>
      </c>
      <c r="D258" s="5342" t="s">
        <v>2396</v>
      </c>
      <c r="E258" s="5342" t="s">
        <v>2397</v>
      </c>
      <c r="F258" s="5342" t="s">
        <v>2398</v>
      </c>
      <c r="G258" s="5342" t="s">
        <v>24</v>
      </c>
      <c r="H258" s="5342" t="s">
        <v>24</v>
      </c>
      <c r="I258" s="5342" t="s">
        <v>755</v>
      </c>
    </row>
    <row customHeight="1" ht="11.25">
      <c r="A259" s="5342" t="s">
        <v>2182</v>
      </c>
      <c r="B259" s="5342" t="s">
        <v>14</v>
      </c>
      <c r="C259" s="5342" t="s">
        <v>2407</v>
      </c>
      <c r="D259" s="5342" t="s">
        <v>2408</v>
      </c>
      <c r="E259" s="5342" t="s">
        <v>2409</v>
      </c>
      <c r="F259" s="5342" t="s">
        <v>2410</v>
      </c>
      <c r="G259" s="5342" t="s">
        <v>24</v>
      </c>
      <c r="H259" s="5342" t="s">
        <v>24</v>
      </c>
      <c r="I259" s="5342" t="s">
        <v>755</v>
      </c>
    </row>
    <row customHeight="1" ht="11.25">
      <c r="A260" s="5342" t="s">
        <v>2182</v>
      </c>
      <c r="B260" s="5342" t="s">
        <v>14</v>
      </c>
      <c r="C260" s="5342" t="s">
        <v>2900</v>
      </c>
      <c r="D260" s="5342" t="s">
        <v>2901</v>
      </c>
      <c r="E260" s="5342" t="s">
        <v>2902</v>
      </c>
      <c r="F260" s="5342" t="s">
        <v>2516</v>
      </c>
      <c r="G260" s="5342" t="s">
        <v>24</v>
      </c>
      <c r="H260" s="5342" t="s">
        <v>24</v>
      </c>
      <c r="I260" s="5342" t="s">
        <v>755</v>
      </c>
    </row>
    <row customHeight="1" ht="11.25">
      <c r="A261" s="5342" t="s">
        <v>2182</v>
      </c>
      <c r="B261" s="5342" t="s">
        <v>14</v>
      </c>
      <c r="C261" s="5342" t="s">
        <v>2903</v>
      </c>
      <c r="D261" s="5342" t="s">
        <v>2904</v>
      </c>
      <c r="E261" s="5342" t="s">
        <v>2905</v>
      </c>
      <c r="F261" s="5342" t="s">
        <v>2906</v>
      </c>
      <c r="G261" s="5342" t="s">
        <v>24</v>
      </c>
      <c r="H261" s="5342" t="s">
        <v>24</v>
      </c>
      <c r="I261" s="5342" t="s">
        <v>755</v>
      </c>
    </row>
    <row customHeight="1" ht="11.25">
      <c r="A262" s="5342" t="s">
        <v>2182</v>
      </c>
      <c r="B262" s="5342" t="s">
        <v>14</v>
      </c>
      <c r="C262" s="5342" t="s">
        <v>2907</v>
      </c>
      <c r="D262" s="5342" t="s">
        <v>2908</v>
      </c>
      <c r="E262" s="5342" t="s">
        <v>2909</v>
      </c>
      <c r="F262" s="5342" t="s">
        <v>2305</v>
      </c>
      <c r="G262" s="5342" t="s">
        <v>24</v>
      </c>
      <c r="H262" s="5342" t="s">
        <v>24</v>
      </c>
      <c r="I262" s="5342" t="s">
        <v>755</v>
      </c>
    </row>
    <row customHeight="1" ht="11.25">
      <c r="A263" s="5342" t="s">
        <v>2182</v>
      </c>
      <c r="B263" s="5342" t="s">
        <v>14</v>
      </c>
      <c r="C263" s="5342" t="s">
        <v>2910</v>
      </c>
      <c r="D263" s="5342" t="s">
        <v>2911</v>
      </c>
      <c r="E263" s="5342" t="s">
        <v>2912</v>
      </c>
      <c r="F263" s="5342" t="s">
        <v>2377</v>
      </c>
      <c r="G263" s="5342" t="s">
        <v>24</v>
      </c>
      <c r="H263" s="5342" t="s">
        <v>24</v>
      </c>
      <c r="I263" s="5342" t="s">
        <v>755</v>
      </c>
    </row>
    <row customHeight="1" ht="11.25">
      <c r="A264" s="5342" t="s">
        <v>2182</v>
      </c>
      <c r="B264" s="5342" t="s">
        <v>14</v>
      </c>
      <c r="C264" s="5342" t="s">
        <v>2913</v>
      </c>
      <c r="D264" s="5342" t="s">
        <v>2914</v>
      </c>
      <c r="E264" s="5342" t="s">
        <v>2915</v>
      </c>
      <c r="F264" s="5342" t="s">
        <v>2223</v>
      </c>
      <c r="G264" s="5342" t="s">
        <v>24</v>
      </c>
      <c r="H264" s="5342" t="s">
        <v>24</v>
      </c>
      <c r="I264" s="5342" t="s">
        <v>755</v>
      </c>
    </row>
    <row customHeight="1" ht="11.25">
      <c r="A265" s="5342" t="s">
        <v>2182</v>
      </c>
      <c r="B265" s="5342" t="s">
        <v>14</v>
      </c>
      <c r="C265" s="5342" t="s">
        <v>2916</v>
      </c>
      <c r="D265" s="5342" t="s">
        <v>2917</v>
      </c>
      <c r="E265" s="5342" t="s">
        <v>2918</v>
      </c>
      <c r="F265" s="5342" t="s">
        <v>2423</v>
      </c>
      <c r="G265" s="5342" t="s">
        <v>24</v>
      </c>
      <c r="H265" s="5342" t="s">
        <v>24</v>
      </c>
      <c r="I265" s="5342" t="s">
        <v>755</v>
      </c>
    </row>
    <row customHeight="1" ht="11.25">
      <c r="A266" s="5342" t="s">
        <v>2182</v>
      </c>
      <c r="B266" s="5342" t="s">
        <v>14</v>
      </c>
      <c r="C266" s="5342" t="s">
        <v>2919</v>
      </c>
      <c r="D266" s="5342" t="s">
        <v>2920</v>
      </c>
      <c r="E266" s="5342" t="s">
        <v>2921</v>
      </c>
      <c r="F266" s="5342" t="s">
        <v>2423</v>
      </c>
      <c r="G266" s="5342" t="s">
        <v>24</v>
      </c>
      <c r="H266" s="5342" t="s">
        <v>24</v>
      </c>
      <c r="I266" s="5342" t="s">
        <v>755</v>
      </c>
    </row>
    <row customHeight="1" ht="11.25">
      <c r="A267" s="5342" t="s">
        <v>2182</v>
      </c>
      <c r="B267" s="5342" t="s">
        <v>14</v>
      </c>
      <c r="C267" s="5342" t="s">
        <v>2922</v>
      </c>
      <c r="D267" s="5342" t="s">
        <v>2923</v>
      </c>
      <c r="E267" s="5342" t="s">
        <v>2924</v>
      </c>
      <c r="F267" s="5342" t="s">
        <v>2232</v>
      </c>
      <c r="G267" s="5342" t="s">
        <v>2925</v>
      </c>
      <c r="H267" s="5342" t="s">
        <v>24</v>
      </c>
      <c r="I267" s="5342" t="s">
        <v>755</v>
      </c>
    </row>
    <row customHeight="1" ht="11.25">
      <c r="A268" s="5342" t="s">
        <v>2182</v>
      </c>
      <c r="B268" s="5342" t="s">
        <v>14</v>
      </c>
      <c r="C268" s="5342" t="s">
        <v>2926</v>
      </c>
      <c r="D268" s="5342" t="s">
        <v>2927</v>
      </c>
      <c r="E268" s="5342" t="s">
        <v>2928</v>
      </c>
      <c r="F268" s="5342" t="s">
        <v>2317</v>
      </c>
      <c r="G268" s="5342" t="s">
        <v>24</v>
      </c>
      <c r="H268" s="5342" t="s">
        <v>24</v>
      </c>
      <c r="I268" s="5342" t="s">
        <v>755</v>
      </c>
    </row>
    <row customHeight="1" ht="11.25">
      <c r="A269" s="5342" t="s">
        <v>2182</v>
      </c>
      <c r="B269" s="5342" t="s">
        <v>14</v>
      </c>
      <c r="C269" s="5342" t="s">
        <v>2457</v>
      </c>
      <c r="D269" s="5342" t="s">
        <v>2458</v>
      </c>
      <c r="E269" s="5342" t="s">
        <v>2459</v>
      </c>
      <c r="F269" s="5342" t="s">
        <v>2377</v>
      </c>
      <c r="G269" s="5342" t="s">
        <v>24</v>
      </c>
      <c r="H269" s="5342" t="s">
        <v>24</v>
      </c>
      <c r="I269" s="5342" t="s">
        <v>755</v>
      </c>
    </row>
    <row customHeight="1" ht="11.25">
      <c r="A270" s="5342" t="s">
        <v>2182</v>
      </c>
      <c r="B270" s="5342" t="s">
        <v>14</v>
      </c>
      <c r="C270" s="5342" t="s">
        <v>2929</v>
      </c>
      <c r="D270" s="5342" t="s">
        <v>2930</v>
      </c>
      <c r="E270" s="5342" t="s">
        <v>2931</v>
      </c>
      <c r="F270" s="5342" t="s">
        <v>2301</v>
      </c>
      <c r="G270" s="5342" t="s">
        <v>24</v>
      </c>
      <c r="H270" s="5342" t="s">
        <v>24</v>
      </c>
      <c r="I270" s="5342" t="s">
        <v>755</v>
      </c>
    </row>
    <row customHeight="1" ht="11.25">
      <c r="A271" s="5342" t="s">
        <v>2182</v>
      </c>
      <c r="B271" s="5342" t="s">
        <v>14</v>
      </c>
      <c r="C271" s="5342" t="s">
        <v>2932</v>
      </c>
      <c r="D271" s="5342" t="s">
        <v>2933</v>
      </c>
      <c r="E271" s="5342" t="s">
        <v>2934</v>
      </c>
      <c r="F271" s="5342" t="s">
        <v>2223</v>
      </c>
      <c r="G271" s="5342" t="s">
        <v>2935</v>
      </c>
      <c r="H271" s="5342" t="s">
        <v>24</v>
      </c>
      <c r="I271" s="5342" t="s">
        <v>755</v>
      </c>
    </row>
    <row customHeight="1" ht="11.25">
      <c r="A272" s="5342" t="s">
        <v>2182</v>
      </c>
      <c r="B272" s="5342" t="s">
        <v>14</v>
      </c>
      <c r="C272" s="5342" t="s">
        <v>2936</v>
      </c>
      <c r="D272" s="5342" t="s">
        <v>2937</v>
      </c>
      <c r="E272" s="5342" t="s">
        <v>2938</v>
      </c>
      <c r="F272" s="5342" t="s">
        <v>2739</v>
      </c>
      <c r="G272" s="5342" t="s">
        <v>24</v>
      </c>
      <c r="H272" s="5342" t="s">
        <v>24</v>
      </c>
      <c r="I272" s="5342" t="s">
        <v>755</v>
      </c>
    </row>
    <row customHeight="1" ht="11.25">
      <c r="A273" s="5342" t="s">
        <v>2182</v>
      </c>
      <c r="B273" s="5342" t="s">
        <v>14</v>
      </c>
      <c r="C273" s="5342" t="s">
        <v>2939</v>
      </c>
      <c r="D273" s="5342" t="s">
        <v>2940</v>
      </c>
      <c r="E273" s="5342" t="s">
        <v>2941</v>
      </c>
      <c r="F273" s="5342" t="s">
        <v>2642</v>
      </c>
      <c r="G273" s="5342" t="s">
        <v>24</v>
      </c>
      <c r="H273" s="5342" t="s">
        <v>24</v>
      </c>
      <c r="I273" s="5342" t="s">
        <v>755</v>
      </c>
    </row>
    <row customHeight="1" ht="11.25">
      <c r="A274" s="5342" t="s">
        <v>2182</v>
      </c>
      <c r="B274" s="5342" t="s">
        <v>14</v>
      </c>
      <c r="C274" s="5342" t="s">
        <v>2942</v>
      </c>
      <c r="D274" s="5342" t="s">
        <v>2943</v>
      </c>
      <c r="E274" s="5342" t="s">
        <v>2944</v>
      </c>
      <c r="F274" s="5342" t="s">
        <v>2317</v>
      </c>
      <c r="G274" s="5342" t="s">
        <v>2945</v>
      </c>
      <c r="H274" s="5342" t="s">
        <v>24</v>
      </c>
      <c r="I274" s="5342" t="s">
        <v>755</v>
      </c>
    </row>
    <row customHeight="1" ht="11.25">
      <c r="A275" s="5342" t="s">
        <v>2182</v>
      </c>
      <c r="B275" s="5342" t="s">
        <v>14</v>
      </c>
      <c r="C275" s="5342" t="s">
        <v>2946</v>
      </c>
      <c r="D275" s="5342" t="s">
        <v>2947</v>
      </c>
      <c r="E275" s="5342" t="s">
        <v>2948</v>
      </c>
      <c r="F275" s="5342" t="s">
        <v>2313</v>
      </c>
      <c r="G275" s="5342" t="s">
        <v>24</v>
      </c>
      <c r="H275" s="5342" t="s">
        <v>24</v>
      </c>
      <c r="I275" s="5342" t="s">
        <v>755</v>
      </c>
    </row>
    <row customHeight="1" ht="11.25">
      <c r="A276" s="5342" t="s">
        <v>2182</v>
      </c>
      <c r="B276" s="5342" t="s">
        <v>14</v>
      </c>
      <c r="C276" s="5342" t="s">
        <v>2949</v>
      </c>
      <c r="D276" s="5342" t="s">
        <v>2950</v>
      </c>
      <c r="E276" s="5342" t="s">
        <v>2951</v>
      </c>
      <c r="F276" s="5342" t="s">
        <v>2394</v>
      </c>
      <c r="G276" s="5342" t="s">
        <v>24</v>
      </c>
      <c r="H276" s="5342" t="s">
        <v>24</v>
      </c>
      <c r="I276" s="5342" t="s">
        <v>755</v>
      </c>
    </row>
    <row customHeight="1" ht="11.25">
      <c r="A277" s="5342" t="s">
        <v>2182</v>
      </c>
      <c r="B277" s="5342" t="s">
        <v>14</v>
      </c>
      <c r="C277" s="5342" t="s">
        <v>2952</v>
      </c>
      <c r="D277" s="5342" t="s">
        <v>2953</v>
      </c>
      <c r="E277" s="5342" t="s">
        <v>2954</v>
      </c>
      <c r="F277" s="5342" t="s">
        <v>2955</v>
      </c>
      <c r="G277" s="5342" t="s">
        <v>24</v>
      </c>
      <c r="H277" s="5342" t="s">
        <v>24</v>
      </c>
      <c r="I277" s="5342" t="s">
        <v>755</v>
      </c>
    </row>
    <row customHeight="1" ht="11.25">
      <c r="A278" s="5342" t="s">
        <v>2182</v>
      </c>
      <c r="B278" s="5342" t="s">
        <v>14</v>
      </c>
      <c r="C278" s="5342" t="s">
        <v>2493</v>
      </c>
      <c r="D278" s="5342" t="s">
        <v>2494</v>
      </c>
      <c r="E278" s="5342" t="s">
        <v>2495</v>
      </c>
      <c r="F278" s="5342" t="s">
        <v>2442</v>
      </c>
      <c r="G278" s="5342" t="s">
        <v>2496</v>
      </c>
      <c r="H278" s="5342" t="s">
        <v>24</v>
      </c>
      <c r="I278" s="5342" t="s">
        <v>755</v>
      </c>
    </row>
    <row customHeight="1" ht="11.25">
      <c r="A279" s="5342" t="s">
        <v>2182</v>
      </c>
      <c r="B279" s="5342" t="s">
        <v>14</v>
      </c>
      <c r="C279" s="5342" t="s">
        <v>2956</v>
      </c>
      <c r="D279" s="5342" t="s">
        <v>2957</v>
      </c>
      <c r="E279" s="5342" t="s">
        <v>2958</v>
      </c>
      <c r="F279" s="5342" t="s">
        <v>2959</v>
      </c>
      <c r="G279" s="5342" t="s">
        <v>24</v>
      </c>
      <c r="H279" s="5342" t="s">
        <v>24</v>
      </c>
      <c r="I279" s="5342" t="s">
        <v>755</v>
      </c>
    </row>
    <row customHeight="1" ht="11.25">
      <c r="A280" s="5342" t="s">
        <v>2182</v>
      </c>
      <c r="B280" s="5342" t="s">
        <v>14</v>
      </c>
      <c r="C280" s="5342" t="s">
        <v>2960</v>
      </c>
      <c r="D280" s="5342" t="s">
        <v>2961</v>
      </c>
      <c r="E280" s="5342" t="s">
        <v>2962</v>
      </c>
      <c r="F280" s="5342" t="s">
        <v>2317</v>
      </c>
      <c r="G280" s="5342" t="s">
        <v>2963</v>
      </c>
      <c r="H280" s="5342" t="s">
        <v>24</v>
      </c>
      <c r="I280" s="5342" t="s">
        <v>755</v>
      </c>
    </row>
    <row customHeight="1" ht="11.25">
      <c r="A281" s="5342" t="s">
        <v>2182</v>
      </c>
      <c r="B281" s="5342" t="s">
        <v>14</v>
      </c>
      <c r="C281" s="5342" t="s">
        <v>2964</v>
      </c>
      <c r="D281" s="5342" t="s">
        <v>2965</v>
      </c>
      <c r="E281" s="5342" t="s">
        <v>2966</v>
      </c>
      <c r="F281" s="5342" t="s">
        <v>2442</v>
      </c>
      <c r="G281" s="5342" t="s">
        <v>2967</v>
      </c>
      <c r="H281" s="5342" t="s">
        <v>24</v>
      </c>
      <c r="I281" s="5342" t="s">
        <v>755</v>
      </c>
    </row>
    <row customHeight="1" ht="11.25">
      <c r="A282" s="5342" t="s">
        <v>2182</v>
      </c>
      <c r="B282" s="5342" t="s">
        <v>14</v>
      </c>
      <c r="C282" s="5342" t="s">
        <v>2968</v>
      </c>
      <c r="D282" s="5342" t="s">
        <v>2969</v>
      </c>
      <c r="E282" s="5342" t="s">
        <v>2970</v>
      </c>
      <c r="F282" s="5342" t="s">
        <v>2450</v>
      </c>
      <c r="G282" s="5342" t="s">
        <v>2971</v>
      </c>
      <c r="H282" s="5342" t="s">
        <v>24</v>
      </c>
      <c r="I282" s="5342" t="s">
        <v>755</v>
      </c>
    </row>
    <row customHeight="1" ht="11.25">
      <c r="A283" s="5342" t="s">
        <v>2182</v>
      </c>
      <c r="B283" s="5342" t="s">
        <v>14</v>
      </c>
      <c r="C283" s="5342" t="s">
        <v>2542</v>
      </c>
      <c r="D283" s="5342" t="s">
        <v>2543</v>
      </c>
      <c r="E283" s="5342" t="s">
        <v>2544</v>
      </c>
      <c r="F283" s="5342" t="s">
        <v>2545</v>
      </c>
      <c r="G283" s="5342" t="s">
        <v>24</v>
      </c>
      <c r="H283" s="5342" t="s">
        <v>24</v>
      </c>
      <c r="I283" s="5342" t="s">
        <v>755</v>
      </c>
    </row>
    <row customHeight="1" ht="11.25">
      <c r="A284" s="5342" t="s">
        <v>2182</v>
      </c>
      <c r="B284" s="5342" t="s">
        <v>14</v>
      </c>
      <c r="C284" s="5342" t="s">
        <v>2972</v>
      </c>
      <c r="D284" s="5342" t="s">
        <v>2973</v>
      </c>
      <c r="E284" s="5342" t="s">
        <v>2974</v>
      </c>
      <c r="F284" s="5342" t="s">
        <v>2223</v>
      </c>
      <c r="G284" s="5342" t="s">
        <v>24</v>
      </c>
      <c r="H284" s="5342" t="s">
        <v>24</v>
      </c>
      <c r="I284" s="5342" t="s">
        <v>755</v>
      </c>
    </row>
    <row customHeight="1" ht="11.25">
      <c r="A285" s="5342" t="s">
        <v>2182</v>
      </c>
      <c r="B285" s="5342" t="s">
        <v>14</v>
      </c>
      <c r="C285" s="5342" t="s">
        <v>2975</v>
      </c>
      <c r="D285" s="5342" t="s">
        <v>2976</v>
      </c>
      <c r="E285" s="5342" t="s">
        <v>2977</v>
      </c>
      <c r="F285" s="5342" t="s">
        <v>2301</v>
      </c>
      <c r="G285" s="5342" t="s">
        <v>2978</v>
      </c>
      <c r="H285" s="5342" t="s">
        <v>24</v>
      </c>
      <c r="I285" s="5342" t="s">
        <v>755</v>
      </c>
    </row>
    <row customHeight="1" ht="11.25">
      <c r="A286" s="5342" t="s">
        <v>2182</v>
      </c>
      <c r="B286" s="5342" t="s">
        <v>14</v>
      </c>
      <c r="C286" s="5342" t="s">
        <v>2979</v>
      </c>
      <c r="D286" s="5342" t="s">
        <v>2980</v>
      </c>
      <c r="E286" s="5342" t="s">
        <v>2981</v>
      </c>
      <c r="F286" s="5342" t="s">
        <v>2982</v>
      </c>
      <c r="G286" s="5342" t="s">
        <v>24</v>
      </c>
      <c r="H286" s="5342" t="s">
        <v>24</v>
      </c>
      <c r="I286" s="5342" t="s">
        <v>755</v>
      </c>
    </row>
    <row customHeight="1" ht="11.25">
      <c r="A287" s="5342" t="s">
        <v>2182</v>
      </c>
      <c r="B287" s="5342" t="s">
        <v>14</v>
      </c>
      <c r="C287" s="5342" t="s">
        <v>2983</v>
      </c>
      <c r="D287" s="5342" t="s">
        <v>2984</v>
      </c>
      <c r="E287" s="5342" t="s">
        <v>2985</v>
      </c>
      <c r="F287" s="5342" t="s">
        <v>2600</v>
      </c>
      <c r="G287" s="5342" t="s">
        <v>24</v>
      </c>
      <c r="H287" s="5342" t="s">
        <v>24</v>
      </c>
      <c r="I287" s="5342" t="s">
        <v>755</v>
      </c>
    </row>
    <row customHeight="1" ht="11.25">
      <c r="A288" s="5342" t="s">
        <v>2182</v>
      </c>
      <c r="B288" s="5342" t="s">
        <v>14</v>
      </c>
      <c r="C288" s="5342" t="s">
        <v>2986</v>
      </c>
      <c r="D288" s="5342" t="s">
        <v>2987</v>
      </c>
      <c r="E288" s="5342" t="s">
        <v>2988</v>
      </c>
      <c r="F288" s="5342" t="s">
        <v>2642</v>
      </c>
      <c r="G288" s="5342" t="s">
        <v>24</v>
      </c>
      <c r="H288" s="5342" t="s">
        <v>24</v>
      </c>
      <c r="I288" s="5342" t="s">
        <v>755</v>
      </c>
    </row>
    <row customHeight="1" ht="11.25">
      <c r="A289" s="5342" t="s">
        <v>2182</v>
      </c>
      <c r="B289" s="5342" t="s">
        <v>14</v>
      </c>
      <c r="C289" s="5342" t="s">
        <v>2989</v>
      </c>
      <c r="D289" s="5342" t="s">
        <v>2990</v>
      </c>
      <c r="E289" s="5342" t="s">
        <v>2991</v>
      </c>
      <c r="F289" s="5342" t="s">
        <v>2373</v>
      </c>
      <c r="G289" s="5342" t="s">
        <v>2992</v>
      </c>
      <c r="H289" s="5342" t="s">
        <v>24</v>
      </c>
      <c r="I289" s="5342" t="s">
        <v>755</v>
      </c>
    </row>
    <row customHeight="1" ht="11.25">
      <c r="A290" s="5342" t="s">
        <v>2182</v>
      </c>
      <c r="B290" s="5342" t="s">
        <v>14</v>
      </c>
      <c r="C290" s="5342" t="s">
        <v>2694</v>
      </c>
      <c r="D290" s="5342" t="s">
        <v>2695</v>
      </c>
      <c r="E290" s="5342" t="s">
        <v>2696</v>
      </c>
      <c r="F290" s="5342" t="s">
        <v>2697</v>
      </c>
      <c r="G290" s="5342" t="s">
        <v>24</v>
      </c>
      <c r="H290" s="5342" t="s">
        <v>24</v>
      </c>
      <c r="I290" s="5342" t="s">
        <v>755</v>
      </c>
    </row>
    <row customHeight="1" ht="11.25">
      <c r="A291" s="5342" t="s">
        <v>2182</v>
      </c>
      <c r="B291" s="5342" t="s">
        <v>14</v>
      </c>
      <c r="C291" s="5342" t="s">
        <v>2993</v>
      </c>
      <c r="D291" s="5342" t="s">
        <v>2994</v>
      </c>
      <c r="E291" s="5342" t="s">
        <v>2995</v>
      </c>
      <c r="F291" s="5342" t="s">
        <v>2271</v>
      </c>
      <c r="G291" s="5342" t="s">
        <v>24</v>
      </c>
      <c r="H291" s="5342" t="s">
        <v>24</v>
      </c>
      <c r="I291" s="5342" t="s">
        <v>755</v>
      </c>
    </row>
    <row customHeight="1" ht="11.25">
      <c r="A292" s="5342" t="s">
        <v>2182</v>
      </c>
      <c r="B292" s="5342" t="s">
        <v>14</v>
      </c>
      <c r="C292" s="5342" t="s">
        <v>2996</v>
      </c>
      <c r="D292" s="5342" t="s">
        <v>2997</v>
      </c>
      <c r="E292" s="5342" t="s">
        <v>2998</v>
      </c>
      <c r="F292" s="5342" t="s">
        <v>2746</v>
      </c>
      <c r="G292" s="5342" t="s">
        <v>2935</v>
      </c>
      <c r="H292" s="5342" t="s">
        <v>24</v>
      </c>
      <c r="I292" s="5342" t="s">
        <v>755</v>
      </c>
    </row>
    <row customHeight="1" ht="11.25">
      <c r="A293" s="5342" t="s">
        <v>2182</v>
      </c>
      <c r="B293" s="5342" t="s">
        <v>14</v>
      </c>
      <c r="C293" s="5342" t="s">
        <v>2999</v>
      </c>
      <c r="D293" s="5342" t="s">
        <v>3000</v>
      </c>
      <c r="E293" s="5342" t="s">
        <v>3001</v>
      </c>
      <c r="F293" s="5342" t="s">
        <v>2240</v>
      </c>
      <c r="G293" s="5342" t="s">
        <v>24</v>
      </c>
      <c r="H293" s="5342" t="s">
        <v>24</v>
      </c>
      <c r="I293" s="5342" t="s">
        <v>755</v>
      </c>
    </row>
    <row customHeight="1" ht="11.25">
      <c r="A294" s="5342" t="s">
        <v>2182</v>
      </c>
      <c r="B294" s="5342" t="s">
        <v>14</v>
      </c>
      <c r="C294" s="5342" t="s">
        <v>3002</v>
      </c>
      <c r="D294" s="5342" t="s">
        <v>3003</v>
      </c>
      <c r="E294" s="5342" t="s">
        <v>3004</v>
      </c>
      <c r="F294" s="5342" t="s">
        <v>2301</v>
      </c>
      <c r="G294" s="5342" t="s">
        <v>24</v>
      </c>
      <c r="H294" s="5342" t="s">
        <v>24</v>
      </c>
      <c r="I294" s="5342" t="s">
        <v>755</v>
      </c>
    </row>
    <row customHeight="1" ht="11.25">
      <c r="A295" s="5342" t="s">
        <v>2182</v>
      </c>
      <c r="B295" s="5342" t="s">
        <v>14</v>
      </c>
      <c r="C295" s="5342" t="s">
        <v>24</v>
      </c>
      <c r="D295" s="5342" t="s">
        <v>2708</v>
      </c>
      <c r="E295" s="5342" t="s">
        <v>2709</v>
      </c>
      <c r="F295" s="5342" t="s">
        <v>2442</v>
      </c>
      <c r="G295" s="5342" t="s">
        <v>24</v>
      </c>
      <c r="H295" s="5342" t="s">
        <v>24</v>
      </c>
      <c r="I295" s="5342" t="s">
        <v>755</v>
      </c>
    </row>
    <row customHeight="1" ht="11.25">
      <c r="A296" s="5342" t="s">
        <v>2182</v>
      </c>
      <c r="B296" s="5342" t="s">
        <v>14</v>
      </c>
      <c r="C296" s="5342" t="s">
        <v>3005</v>
      </c>
      <c r="D296" s="5342" t="s">
        <v>3006</v>
      </c>
      <c r="E296" s="5342" t="s">
        <v>3007</v>
      </c>
      <c r="F296" s="5342" t="s">
        <v>2438</v>
      </c>
      <c r="G296" s="5342" t="s">
        <v>24</v>
      </c>
      <c r="H296" s="5342" t="s">
        <v>24</v>
      </c>
      <c r="I296" s="5342" t="s">
        <v>755</v>
      </c>
    </row>
    <row customHeight="1" ht="11.25">
      <c r="A297" s="5342" t="s">
        <v>2182</v>
      </c>
      <c r="B297" s="5342" t="s">
        <v>14</v>
      </c>
      <c r="C297" s="5342" t="s">
        <v>2717</v>
      </c>
      <c r="D297" s="5342" t="s">
        <v>2718</v>
      </c>
      <c r="E297" s="5342" t="s">
        <v>2712</v>
      </c>
      <c r="F297" s="5342" t="s">
        <v>2719</v>
      </c>
      <c r="G297" s="5342" t="s">
        <v>24</v>
      </c>
      <c r="H297" s="5342" t="s">
        <v>24</v>
      </c>
      <c r="I297" s="5342" t="s">
        <v>755</v>
      </c>
    </row>
    <row customHeight="1" ht="11.25">
      <c r="A298" s="5342" t="s">
        <v>2182</v>
      </c>
      <c r="B298" s="5342" t="s">
        <v>14</v>
      </c>
      <c r="C298" s="5342" t="s">
        <v>3008</v>
      </c>
      <c r="D298" s="5342" t="s">
        <v>3009</v>
      </c>
      <c r="E298" s="5342" t="s">
        <v>3010</v>
      </c>
      <c r="F298" s="5342" t="s">
        <v>2430</v>
      </c>
      <c r="G298" s="5342" t="s">
        <v>24</v>
      </c>
      <c r="H298" s="5342" t="s">
        <v>24</v>
      </c>
      <c r="I298" s="5342" t="s">
        <v>755</v>
      </c>
    </row>
    <row customHeight="1" ht="11.25">
      <c r="A299" s="5342" t="s">
        <v>2182</v>
      </c>
      <c r="B299" s="5342" t="s">
        <v>14</v>
      </c>
      <c r="C299" s="5342" t="s">
        <v>2730</v>
      </c>
      <c r="D299" s="5342" t="s">
        <v>2731</v>
      </c>
      <c r="E299" s="5342" t="s">
        <v>2732</v>
      </c>
      <c r="F299" s="5342" t="s">
        <v>2430</v>
      </c>
      <c r="G299" s="5342" t="s">
        <v>24</v>
      </c>
      <c r="H299" s="5342" t="s">
        <v>24</v>
      </c>
      <c r="I299" s="5342" t="s">
        <v>755</v>
      </c>
    </row>
    <row customHeight="1" ht="11.25">
      <c r="A300" s="5342" t="s">
        <v>2182</v>
      </c>
      <c r="B300" s="5342" t="s">
        <v>14</v>
      </c>
      <c r="C300" s="5342" t="s">
        <v>2733</v>
      </c>
      <c r="D300" s="5342" t="s">
        <v>2734</v>
      </c>
      <c r="E300" s="5342" t="s">
        <v>2735</v>
      </c>
      <c r="F300" s="5342" t="s">
        <v>2430</v>
      </c>
      <c r="G300" s="5342" t="s">
        <v>24</v>
      </c>
      <c r="H300" s="5342" t="s">
        <v>24</v>
      </c>
      <c r="I300" s="5342" t="s">
        <v>755</v>
      </c>
    </row>
    <row customHeight="1" ht="11.25">
      <c r="A301" s="5342" t="s">
        <v>2182</v>
      </c>
      <c r="B301" s="5342" t="s">
        <v>14</v>
      </c>
      <c r="C301" s="5342" t="s">
        <v>2736</v>
      </c>
      <c r="D301" s="5342" t="s">
        <v>2737</v>
      </c>
      <c r="E301" s="5342" t="s">
        <v>2738</v>
      </c>
      <c r="F301" s="5342" t="s">
        <v>2739</v>
      </c>
      <c r="G301" s="5342" t="s">
        <v>24</v>
      </c>
      <c r="H301" s="5342" t="s">
        <v>24</v>
      </c>
      <c r="I301" s="5342" t="s">
        <v>755</v>
      </c>
    </row>
    <row customHeight="1" ht="11.25">
      <c r="A302" s="5342" t="s">
        <v>2182</v>
      </c>
      <c r="B302" s="5342" t="s">
        <v>14</v>
      </c>
      <c r="C302" s="5342" t="s">
        <v>2743</v>
      </c>
      <c r="D302" s="5342" t="s">
        <v>2744</v>
      </c>
      <c r="E302" s="5342" t="s">
        <v>2745</v>
      </c>
      <c r="F302" s="5342" t="s">
        <v>2746</v>
      </c>
      <c r="G302" s="5342" t="s">
        <v>24</v>
      </c>
      <c r="H302" s="5342" t="s">
        <v>24</v>
      </c>
      <c r="I302" s="5342" t="s">
        <v>755</v>
      </c>
    </row>
    <row customHeight="1" ht="11.25">
      <c r="A303" s="5342" t="s">
        <v>2182</v>
      </c>
      <c r="B303" s="5342" t="s">
        <v>14</v>
      </c>
      <c r="C303" s="5342" t="s">
        <v>2747</v>
      </c>
      <c r="D303" s="5342" t="s">
        <v>2748</v>
      </c>
      <c r="E303" s="5342" t="s">
        <v>2745</v>
      </c>
      <c r="F303" s="5342" t="s">
        <v>2749</v>
      </c>
      <c r="G303" s="5342" t="s">
        <v>2750</v>
      </c>
      <c r="H303" s="5342" t="s">
        <v>24</v>
      </c>
      <c r="I303" s="5342" t="s">
        <v>755</v>
      </c>
    </row>
    <row customHeight="1" ht="11.25">
      <c r="A304" s="5342" t="s">
        <v>2182</v>
      </c>
      <c r="B304" s="5342" t="s">
        <v>14</v>
      </c>
      <c r="C304" s="5342" t="s">
        <v>2762</v>
      </c>
      <c r="D304" s="5342" t="s">
        <v>2763</v>
      </c>
      <c r="E304" s="5342" t="s">
        <v>2764</v>
      </c>
      <c r="F304" s="5342" t="s">
        <v>2765</v>
      </c>
      <c r="G304" s="5342" t="s">
        <v>24</v>
      </c>
      <c r="H304" s="5342" t="s">
        <v>24</v>
      </c>
      <c r="I304" s="5342" t="s">
        <v>755</v>
      </c>
    </row>
    <row customHeight="1" ht="11.25">
      <c r="A305" s="5342" t="s">
        <v>2182</v>
      </c>
      <c r="B305" s="5342" t="s">
        <v>14</v>
      </c>
      <c r="C305" s="5342" t="s">
        <v>3011</v>
      </c>
      <c r="D305" s="5342" t="s">
        <v>3012</v>
      </c>
      <c r="E305" s="5342" t="s">
        <v>3013</v>
      </c>
      <c r="F305" s="5342" t="s">
        <v>2442</v>
      </c>
      <c r="G305" s="5342" t="s">
        <v>24</v>
      </c>
      <c r="H305" s="5342" t="s">
        <v>24</v>
      </c>
      <c r="I305" s="5342" t="s">
        <v>807</v>
      </c>
    </row>
    <row customHeight="1" ht="11.25">
      <c r="A306" s="5342" t="s">
        <v>2182</v>
      </c>
      <c r="B306" s="5342" t="s">
        <v>14</v>
      </c>
      <c r="C306" s="5342" t="s">
        <v>2220</v>
      </c>
      <c r="D306" s="5342" t="s">
        <v>2221</v>
      </c>
      <c r="E306" s="5342" t="s">
        <v>2222</v>
      </c>
      <c r="F306" s="5342" t="s">
        <v>2223</v>
      </c>
      <c r="G306" s="5342" t="s">
        <v>2224</v>
      </c>
      <c r="H306" s="5342" t="s">
        <v>24</v>
      </c>
      <c r="I306" s="5342" t="s">
        <v>807</v>
      </c>
    </row>
    <row customHeight="1" ht="11.25">
      <c r="A307" s="5342" t="s">
        <v>2182</v>
      </c>
      <c r="B307" s="5342" t="s">
        <v>14</v>
      </c>
      <c r="C307" s="5342" t="s">
        <v>2783</v>
      </c>
      <c r="D307" s="5342" t="s">
        <v>2784</v>
      </c>
      <c r="E307" s="5342" t="s">
        <v>2785</v>
      </c>
      <c r="F307" s="5342" t="s">
        <v>2236</v>
      </c>
      <c r="G307" s="5342" t="s">
        <v>24</v>
      </c>
      <c r="H307" s="5342" t="s">
        <v>24</v>
      </c>
      <c r="I307" s="5342" t="s">
        <v>807</v>
      </c>
    </row>
    <row customHeight="1" ht="11.25">
      <c r="A308" s="5342" t="s">
        <v>2182</v>
      </c>
      <c r="B308" s="5342" t="s">
        <v>14</v>
      </c>
      <c r="C308" s="5342" t="s">
        <v>3014</v>
      </c>
      <c r="D308" s="5342" t="s">
        <v>3015</v>
      </c>
      <c r="E308" s="5342" t="s">
        <v>3016</v>
      </c>
      <c r="F308" s="5342" t="s">
        <v>2228</v>
      </c>
      <c r="G308" s="5342" t="s">
        <v>24</v>
      </c>
      <c r="H308" s="5342" t="s">
        <v>24</v>
      </c>
      <c r="I308" s="5342" t="s">
        <v>807</v>
      </c>
    </row>
    <row customHeight="1" ht="11.25">
      <c r="A309" s="5342" t="s">
        <v>2182</v>
      </c>
      <c r="B309" s="5342" t="s">
        <v>14</v>
      </c>
      <c r="C309" s="5342" t="s">
        <v>2790</v>
      </c>
      <c r="D309" s="5342" t="s">
        <v>2791</v>
      </c>
      <c r="E309" s="5342" t="s">
        <v>2792</v>
      </c>
      <c r="F309" s="5342" t="s">
        <v>2442</v>
      </c>
      <c r="G309" s="5342" t="s">
        <v>2793</v>
      </c>
      <c r="H309" s="5342" t="s">
        <v>24</v>
      </c>
      <c r="I309" s="5342" t="s">
        <v>807</v>
      </c>
    </row>
    <row customHeight="1" ht="11.25">
      <c r="A310" s="5342" t="s">
        <v>2182</v>
      </c>
      <c r="B310" s="5342" t="s">
        <v>14</v>
      </c>
      <c r="C310" s="5342" t="s">
        <v>2275</v>
      </c>
      <c r="D310" s="5342" t="s">
        <v>2276</v>
      </c>
      <c r="E310" s="5342" t="s">
        <v>2277</v>
      </c>
      <c r="F310" s="5342" t="s">
        <v>2278</v>
      </c>
      <c r="G310" s="5342" t="s">
        <v>24</v>
      </c>
      <c r="H310" s="5342" t="s">
        <v>24</v>
      </c>
      <c r="I310" s="5342" t="s">
        <v>807</v>
      </c>
    </row>
    <row customHeight="1" ht="11.25">
      <c r="A311" s="5342" t="s">
        <v>2182</v>
      </c>
      <c r="B311" s="5342" t="s">
        <v>14</v>
      </c>
      <c r="C311" s="5342" t="s">
        <v>2794</v>
      </c>
      <c r="D311" s="5342" t="s">
        <v>2795</v>
      </c>
      <c r="E311" s="5342" t="s">
        <v>2796</v>
      </c>
      <c r="F311" s="5342" t="s">
        <v>2442</v>
      </c>
      <c r="G311" s="5342" t="s">
        <v>2797</v>
      </c>
      <c r="H311" s="5342" t="s">
        <v>24</v>
      </c>
      <c r="I311" s="5342" t="s">
        <v>807</v>
      </c>
    </row>
    <row customHeight="1" ht="11.25">
      <c r="A312" s="5342" t="s">
        <v>2182</v>
      </c>
      <c r="B312" s="5342" t="s">
        <v>14</v>
      </c>
      <c r="C312" s="5342" t="s">
        <v>2295</v>
      </c>
      <c r="D312" s="5342" t="s">
        <v>2296</v>
      </c>
      <c r="E312" s="5342" t="s">
        <v>2297</v>
      </c>
      <c r="F312" s="5342" t="s">
        <v>50</v>
      </c>
      <c r="G312" s="5342" t="s">
        <v>24</v>
      </c>
      <c r="H312" s="5342" t="s">
        <v>24</v>
      </c>
      <c r="I312" s="5342" t="s">
        <v>807</v>
      </c>
    </row>
    <row customHeight="1" ht="11.25">
      <c r="A313" s="5342" t="s">
        <v>2182</v>
      </c>
      <c r="B313" s="5342" t="s">
        <v>14</v>
      </c>
      <c r="C313" s="5342" t="s">
        <v>3017</v>
      </c>
      <c r="D313" s="5342" t="s">
        <v>3018</v>
      </c>
      <c r="E313" s="5342" t="s">
        <v>3019</v>
      </c>
      <c r="F313" s="5342" t="s">
        <v>2642</v>
      </c>
      <c r="G313" s="5342" t="s">
        <v>3020</v>
      </c>
      <c r="H313" s="5342" t="s">
        <v>24</v>
      </c>
      <c r="I313" s="5342" t="s">
        <v>807</v>
      </c>
    </row>
    <row customHeight="1" ht="11.25">
      <c r="A314" s="5342" t="s">
        <v>2182</v>
      </c>
      <c r="B314" s="5342" t="s">
        <v>14</v>
      </c>
      <c r="C314" s="5342" t="s">
        <v>2812</v>
      </c>
      <c r="D314" s="5342" t="s">
        <v>2813</v>
      </c>
      <c r="E314" s="5342" t="s">
        <v>2814</v>
      </c>
      <c r="F314" s="5342" t="s">
        <v>2294</v>
      </c>
      <c r="G314" s="5342" t="s">
        <v>2620</v>
      </c>
      <c r="H314" s="5342" t="s">
        <v>24</v>
      </c>
      <c r="I314" s="5342" t="s">
        <v>807</v>
      </c>
    </row>
    <row customHeight="1" ht="11.25">
      <c r="A315" s="5342" t="s">
        <v>2182</v>
      </c>
      <c r="B315" s="5342" t="s">
        <v>14</v>
      </c>
      <c r="C315" s="5342" t="s">
        <v>2314</v>
      </c>
      <c r="D315" s="5342" t="s">
        <v>2315</v>
      </c>
      <c r="E315" s="5342" t="s">
        <v>2316</v>
      </c>
      <c r="F315" s="5342" t="s">
        <v>2317</v>
      </c>
      <c r="G315" s="5342" t="s">
        <v>24</v>
      </c>
      <c r="H315" s="5342" t="s">
        <v>24</v>
      </c>
      <c r="I315" s="5342" t="s">
        <v>807</v>
      </c>
    </row>
    <row customHeight="1" ht="11.25">
      <c r="A316" s="5342" t="s">
        <v>2182</v>
      </c>
      <c r="B316" s="5342" t="s">
        <v>14</v>
      </c>
      <c r="C316" s="5342" t="s">
        <v>2819</v>
      </c>
      <c r="D316" s="5342" t="s">
        <v>2820</v>
      </c>
      <c r="E316" s="5342" t="s">
        <v>2821</v>
      </c>
      <c r="F316" s="5342" t="s">
        <v>2406</v>
      </c>
      <c r="G316" s="5342" t="s">
        <v>24</v>
      </c>
      <c r="H316" s="5342" t="s">
        <v>24</v>
      </c>
      <c r="I316" s="5342" t="s">
        <v>807</v>
      </c>
    </row>
    <row customHeight="1" ht="11.25">
      <c r="A317" s="5342" t="s">
        <v>2182</v>
      </c>
      <c r="B317" s="5342" t="s">
        <v>14</v>
      </c>
      <c r="C317" s="5342" t="s">
        <v>2832</v>
      </c>
      <c r="D317" s="5342" t="s">
        <v>2827</v>
      </c>
      <c r="E317" s="5342" t="s">
        <v>2833</v>
      </c>
      <c r="F317" s="5342" t="s">
        <v>2834</v>
      </c>
      <c r="G317" s="5342" t="s">
        <v>24</v>
      </c>
      <c r="H317" s="5342" t="s">
        <v>24</v>
      </c>
      <c r="I317" s="5342" t="s">
        <v>807</v>
      </c>
    </row>
    <row customHeight="1" ht="11.25">
      <c r="A318" s="5342" t="s">
        <v>2182</v>
      </c>
      <c r="B318" s="5342" t="s">
        <v>14</v>
      </c>
      <c r="C318" s="5342" t="s">
        <v>2839</v>
      </c>
      <c r="D318" s="5342" t="s">
        <v>2840</v>
      </c>
      <c r="E318" s="5342" t="s">
        <v>2841</v>
      </c>
      <c r="F318" s="5342" t="s">
        <v>2271</v>
      </c>
      <c r="G318" s="5342" t="s">
        <v>24</v>
      </c>
      <c r="H318" s="5342" t="s">
        <v>24</v>
      </c>
      <c r="I318" s="5342" t="s">
        <v>807</v>
      </c>
    </row>
    <row customHeight="1" ht="11.25">
      <c r="A319" s="5342" t="s">
        <v>2182</v>
      </c>
      <c r="B319" s="5342" t="s">
        <v>14</v>
      </c>
      <c r="C319" s="5342" t="s">
        <v>2842</v>
      </c>
      <c r="D319" s="5342" t="s">
        <v>2843</v>
      </c>
      <c r="E319" s="5342" t="s">
        <v>2844</v>
      </c>
      <c r="F319" s="5342" t="s">
        <v>2406</v>
      </c>
      <c r="G319" s="5342" t="s">
        <v>24</v>
      </c>
      <c r="H319" s="5342" t="s">
        <v>24</v>
      </c>
      <c r="I319" s="5342" t="s">
        <v>807</v>
      </c>
    </row>
    <row customHeight="1" ht="11.25">
      <c r="A320" s="5342" t="s">
        <v>2182</v>
      </c>
      <c r="B320" s="5342" t="s">
        <v>14</v>
      </c>
      <c r="C320" s="5342" t="s">
        <v>2845</v>
      </c>
      <c r="D320" s="5342" t="s">
        <v>2846</v>
      </c>
      <c r="E320" s="5342" t="s">
        <v>2847</v>
      </c>
      <c r="F320" s="5342" t="s">
        <v>2848</v>
      </c>
      <c r="G320" s="5342" t="s">
        <v>2849</v>
      </c>
      <c r="H320" s="5342" t="s">
        <v>24</v>
      </c>
      <c r="I320" s="5342" t="s">
        <v>807</v>
      </c>
    </row>
    <row customHeight="1" ht="11.25">
      <c r="A321" s="5342" t="s">
        <v>2182</v>
      </c>
      <c r="B321" s="5342" t="s">
        <v>14</v>
      </c>
      <c r="C321" s="5342" t="s">
        <v>2850</v>
      </c>
      <c r="D321" s="5342" t="s">
        <v>2851</v>
      </c>
      <c r="E321" s="5342" t="s">
        <v>2852</v>
      </c>
      <c r="F321" s="5342" t="s">
        <v>2610</v>
      </c>
      <c r="G321" s="5342" t="s">
        <v>24</v>
      </c>
      <c r="H321" s="5342" t="s">
        <v>24</v>
      </c>
      <c r="I321" s="5342" t="s">
        <v>807</v>
      </c>
    </row>
    <row customHeight="1" ht="11.25">
      <c r="A322" s="5342" t="s">
        <v>2182</v>
      </c>
      <c r="B322" s="5342" t="s">
        <v>14</v>
      </c>
      <c r="C322" s="5342" t="s">
        <v>2856</v>
      </c>
      <c r="D322" s="5342" t="s">
        <v>2857</v>
      </c>
      <c r="E322" s="5342" t="s">
        <v>2858</v>
      </c>
      <c r="F322" s="5342" t="s">
        <v>2390</v>
      </c>
      <c r="G322" s="5342" t="s">
        <v>2859</v>
      </c>
      <c r="H322" s="5342" t="s">
        <v>24</v>
      </c>
      <c r="I322" s="5342" t="s">
        <v>807</v>
      </c>
    </row>
    <row customHeight="1" ht="11.25">
      <c r="A323" s="5342" t="s">
        <v>2182</v>
      </c>
      <c r="B323" s="5342" t="s">
        <v>14</v>
      </c>
      <c r="C323" s="5342" t="s">
        <v>2381</v>
      </c>
      <c r="D323" s="5342" t="s">
        <v>2382</v>
      </c>
      <c r="E323" s="5342" t="s">
        <v>2383</v>
      </c>
      <c r="F323" s="5342" t="s">
        <v>2240</v>
      </c>
      <c r="G323" s="5342" t="s">
        <v>24</v>
      </c>
      <c r="H323" s="5342" t="s">
        <v>24</v>
      </c>
      <c r="I323" s="5342" t="s">
        <v>807</v>
      </c>
    </row>
    <row customHeight="1" ht="11.25">
      <c r="A324" s="5342" t="s">
        <v>2182</v>
      </c>
      <c r="B324" s="5342" t="s">
        <v>14</v>
      </c>
      <c r="C324" s="5342" t="s">
        <v>2871</v>
      </c>
      <c r="D324" s="5342" t="s">
        <v>2872</v>
      </c>
      <c r="E324" s="5342" t="s">
        <v>2873</v>
      </c>
      <c r="F324" s="5342" t="s">
        <v>2414</v>
      </c>
      <c r="G324" s="5342" t="s">
        <v>24</v>
      </c>
      <c r="H324" s="5342" t="s">
        <v>24</v>
      </c>
      <c r="I324" s="5342" t="s">
        <v>807</v>
      </c>
    </row>
    <row customHeight="1" ht="11.25">
      <c r="A325" s="5342" t="s">
        <v>2182</v>
      </c>
      <c r="B325" s="5342" t="s">
        <v>14</v>
      </c>
      <c r="C325" s="5342" t="s">
        <v>2391</v>
      </c>
      <c r="D325" s="5342" t="s">
        <v>2392</v>
      </c>
      <c r="E325" s="5342" t="s">
        <v>2393</v>
      </c>
      <c r="F325" s="5342" t="s">
        <v>2394</v>
      </c>
      <c r="G325" s="5342" t="s">
        <v>24</v>
      </c>
      <c r="H325" s="5342" t="s">
        <v>24</v>
      </c>
      <c r="I325" s="5342" t="s">
        <v>807</v>
      </c>
    </row>
    <row customHeight="1" ht="11.25">
      <c r="A326" s="5342" t="s">
        <v>2182</v>
      </c>
      <c r="B326" s="5342" t="s">
        <v>14</v>
      </c>
      <c r="C326" s="5342" t="s">
        <v>2877</v>
      </c>
      <c r="D326" s="5342" t="s">
        <v>2878</v>
      </c>
      <c r="E326" s="5342" t="s">
        <v>2879</v>
      </c>
      <c r="F326" s="5342" t="s">
        <v>2739</v>
      </c>
      <c r="G326" s="5342" t="s">
        <v>2880</v>
      </c>
      <c r="H326" s="5342" t="s">
        <v>24</v>
      </c>
      <c r="I326" s="5342" t="s">
        <v>807</v>
      </c>
    </row>
    <row customHeight="1" ht="11.25">
      <c r="A327" s="5342" t="s">
        <v>2182</v>
      </c>
      <c r="B327" s="5342" t="s">
        <v>14</v>
      </c>
      <c r="C327" s="5342" t="s">
        <v>2884</v>
      </c>
      <c r="D327" s="5342" t="s">
        <v>2885</v>
      </c>
      <c r="E327" s="5342" t="s">
        <v>2886</v>
      </c>
      <c r="F327" s="5342" t="s">
        <v>2402</v>
      </c>
      <c r="G327" s="5342" t="s">
        <v>24</v>
      </c>
      <c r="H327" s="5342" t="s">
        <v>24</v>
      </c>
      <c r="I327" s="5342" t="s">
        <v>807</v>
      </c>
    </row>
    <row customHeight="1" ht="11.25">
      <c r="A328" s="5342" t="s">
        <v>2182</v>
      </c>
      <c r="B328" s="5342" t="s">
        <v>14</v>
      </c>
      <c r="C328" s="5342" t="s">
        <v>2887</v>
      </c>
      <c r="D328" s="5342" t="s">
        <v>2888</v>
      </c>
      <c r="E328" s="5342" t="s">
        <v>2889</v>
      </c>
      <c r="F328" s="5342" t="s">
        <v>2890</v>
      </c>
      <c r="G328" s="5342" t="s">
        <v>2891</v>
      </c>
      <c r="H328" s="5342" t="s">
        <v>24</v>
      </c>
      <c r="I328" s="5342" t="s">
        <v>807</v>
      </c>
    </row>
    <row customHeight="1" ht="11.25">
      <c r="A329" s="5342" t="s">
        <v>2182</v>
      </c>
      <c r="B329" s="5342" t="s">
        <v>14</v>
      </c>
      <c r="C329" s="5342" t="s">
        <v>2896</v>
      </c>
      <c r="D329" s="5342" t="s">
        <v>2897</v>
      </c>
      <c r="E329" s="5342" t="s">
        <v>2898</v>
      </c>
      <c r="F329" s="5342" t="s">
        <v>2446</v>
      </c>
      <c r="G329" s="5342" t="s">
        <v>2899</v>
      </c>
      <c r="H329" s="5342" t="s">
        <v>24</v>
      </c>
      <c r="I329" s="5342" t="s">
        <v>807</v>
      </c>
    </row>
    <row customHeight="1" ht="11.25">
      <c r="A330" s="5342" t="s">
        <v>2182</v>
      </c>
      <c r="B330" s="5342" t="s">
        <v>14</v>
      </c>
      <c r="C330" s="5342" t="s">
        <v>2395</v>
      </c>
      <c r="D330" s="5342" t="s">
        <v>2396</v>
      </c>
      <c r="E330" s="5342" t="s">
        <v>2397</v>
      </c>
      <c r="F330" s="5342" t="s">
        <v>2398</v>
      </c>
      <c r="G330" s="5342" t="s">
        <v>24</v>
      </c>
      <c r="H330" s="5342" t="s">
        <v>24</v>
      </c>
      <c r="I330" s="5342" t="s">
        <v>807</v>
      </c>
    </row>
    <row customHeight="1" ht="11.25">
      <c r="A331" s="5342" t="s">
        <v>2182</v>
      </c>
      <c r="B331" s="5342" t="s">
        <v>14</v>
      </c>
      <c r="C331" s="5342" t="s">
        <v>2907</v>
      </c>
      <c r="D331" s="5342" t="s">
        <v>2908</v>
      </c>
      <c r="E331" s="5342" t="s">
        <v>2909</v>
      </c>
      <c r="F331" s="5342" t="s">
        <v>2305</v>
      </c>
      <c r="G331" s="5342" t="s">
        <v>24</v>
      </c>
      <c r="H331" s="5342" t="s">
        <v>24</v>
      </c>
      <c r="I331" s="5342" t="s">
        <v>807</v>
      </c>
    </row>
    <row customHeight="1" ht="11.25">
      <c r="A332" s="5342" t="s">
        <v>2182</v>
      </c>
      <c r="B332" s="5342" t="s">
        <v>14</v>
      </c>
      <c r="C332" s="5342" t="s">
        <v>2910</v>
      </c>
      <c r="D332" s="5342" t="s">
        <v>2911</v>
      </c>
      <c r="E332" s="5342" t="s">
        <v>2912</v>
      </c>
      <c r="F332" s="5342" t="s">
        <v>2377</v>
      </c>
      <c r="G332" s="5342" t="s">
        <v>24</v>
      </c>
      <c r="H332" s="5342" t="s">
        <v>24</v>
      </c>
      <c r="I332" s="5342" t="s">
        <v>807</v>
      </c>
    </row>
    <row customHeight="1" ht="11.25">
      <c r="A333" s="5342" t="s">
        <v>2182</v>
      </c>
      <c r="B333" s="5342" t="s">
        <v>14</v>
      </c>
      <c r="C333" s="5342" t="s">
        <v>2913</v>
      </c>
      <c r="D333" s="5342" t="s">
        <v>2914</v>
      </c>
      <c r="E333" s="5342" t="s">
        <v>2915</v>
      </c>
      <c r="F333" s="5342" t="s">
        <v>2223</v>
      </c>
      <c r="G333" s="5342" t="s">
        <v>24</v>
      </c>
      <c r="H333" s="5342" t="s">
        <v>24</v>
      </c>
      <c r="I333" s="5342" t="s">
        <v>807</v>
      </c>
    </row>
    <row customHeight="1" ht="11.25">
      <c r="A334" s="5342" t="s">
        <v>2182</v>
      </c>
      <c r="B334" s="5342" t="s">
        <v>14</v>
      </c>
      <c r="C334" s="5342" t="s">
        <v>2916</v>
      </c>
      <c r="D334" s="5342" t="s">
        <v>2917</v>
      </c>
      <c r="E334" s="5342" t="s">
        <v>2918</v>
      </c>
      <c r="F334" s="5342" t="s">
        <v>2423</v>
      </c>
      <c r="G334" s="5342" t="s">
        <v>24</v>
      </c>
      <c r="H334" s="5342" t="s">
        <v>24</v>
      </c>
      <c r="I334" s="5342" t="s">
        <v>807</v>
      </c>
    </row>
    <row customHeight="1" ht="11.25">
      <c r="A335" s="5342" t="s">
        <v>2182</v>
      </c>
      <c r="B335" s="5342" t="s">
        <v>14</v>
      </c>
      <c r="C335" s="5342" t="s">
        <v>2919</v>
      </c>
      <c r="D335" s="5342" t="s">
        <v>2920</v>
      </c>
      <c r="E335" s="5342" t="s">
        <v>2921</v>
      </c>
      <c r="F335" s="5342" t="s">
        <v>2423</v>
      </c>
      <c r="G335" s="5342" t="s">
        <v>24</v>
      </c>
      <c r="H335" s="5342" t="s">
        <v>24</v>
      </c>
      <c r="I335" s="5342" t="s">
        <v>807</v>
      </c>
    </row>
    <row customHeight="1" ht="11.25">
      <c r="A336" s="5342" t="s">
        <v>2182</v>
      </c>
      <c r="B336" s="5342" t="s">
        <v>14</v>
      </c>
      <c r="C336" s="5342" t="s">
        <v>2926</v>
      </c>
      <c r="D336" s="5342" t="s">
        <v>2927</v>
      </c>
      <c r="E336" s="5342" t="s">
        <v>2928</v>
      </c>
      <c r="F336" s="5342" t="s">
        <v>2317</v>
      </c>
      <c r="G336" s="5342" t="s">
        <v>24</v>
      </c>
      <c r="H336" s="5342" t="s">
        <v>24</v>
      </c>
      <c r="I336" s="5342" t="s">
        <v>807</v>
      </c>
    </row>
    <row customHeight="1" ht="11.25">
      <c r="A337" s="5342" t="s">
        <v>2182</v>
      </c>
      <c r="B337" s="5342" t="s">
        <v>14</v>
      </c>
      <c r="C337" s="5342" t="s">
        <v>3021</v>
      </c>
      <c r="D337" s="5342" t="s">
        <v>3022</v>
      </c>
      <c r="E337" s="5342" t="s">
        <v>3023</v>
      </c>
      <c r="F337" s="5342" t="s">
        <v>2232</v>
      </c>
      <c r="G337" s="5342" t="s">
        <v>3024</v>
      </c>
      <c r="H337" s="5342" t="s">
        <v>24</v>
      </c>
      <c r="I337" s="5342" t="s">
        <v>807</v>
      </c>
    </row>
    <row customHeight="1" ht="11.25">
      <c r="A338" s="5342" t="s">
        <v>2182</v>
      </c>
      <c r="B338" s="5342" t="s">
        <v>14</v>
      </c>
      <c r="C338" s="5342" t="s">
        <v>2457</v>
      </c>
      <c r="D338" s="5342" t="s">
        <v>2458</v>
      </c>
      <c r="E338" s="5342" t="s">
        <v>2459</v>
      </c>
      <c r="F338" s="5342" t="s">
        <v>2377</v>
      </c>
      <c r="G338" s="5342" t="s">
        <v>24</v>
      </c>
      <c r="H338" s="5342" t="s">
        <v>24</v>
      </c>
      <c r="I338" s="5342" t="s">
        <v>807</v>
      </c>
    </row>
    <row customHeight="1" ht="11.25">
      <c r="A339" s="5342" t="s">
        <v>2182</v>
      </c>
      <c r="B339" s="5342" t="s">
        <v>14</v>
      </c>
      <c r="C339" s="5342" t="s">
        <v>2929</v>
      </c>
      <c r="D339" s="5342" t="s">
        <v>2930</v>
      </c>
      <c r="E339" s="5342" t="s">
        <v>2931</v>
      </c>
      <c r="F339" s="5342" t="s">
        <v>2301</v>
      </c>
      <c r="G339" s="5342" t="s">
        <v>24</v>
      </c>
      <c r="H339" s="5342" t="s">
        <v>24</v>
      </c>
      <c r="I339" s="5342" t="s">
        <v>807</v>
      </c>
    </row>
    <row customHeight="1" ht="11.25">
      <c r="A340" s="5342" t="s">
        <v>2182</v>
      </c>
      <c r="B340" s="5342" t="s">
        <v>14</v>
      </c>
      <c r="C340" s="5342" t="s">
        <v>3025</v>
      </c>
      <c r="D340" s="5342" t="s">
        <v>3026</v>
      </c>
      <c r="E340" s="5342" t="s">
        <v>3027</v>
      </c>
      <c r="F340" s="5342" t="s">
        <v>50</v>
      </c>
      <c r="G340" s="5342" t="s">
        <v>24</v>
      </c>
      <c r="H340" s="5342" t="s">
        <v>24</v>
      </c>
      <c r="I340" s="5342" t="s">
        <v>807</v>
      </c>
    </row>
    <row customHeight="1" ht="11.25">
      <c r="A341" s="5342" t="s">
        <v>2182</v>
      </c>
      <c r="B341" s="5342" t="s">
        <v>14</v>
      </c>
      <c r="C341" s="5342" t="s">
        <v>2932</v>
      </c>
      <c r="D341" s="5342" t="s">
        <v>2933</v>
      </c>
      <c r="E341" s="5342" t="s">
        <v>2934</v>
      </c>
      <c r="F341" s="5342" t="s">
        <v>2223</v>
      </c>
      <c r="G341" s="5342" t="s">
        <v>2935</v>
      </c>
      <c r="H341" s="5342" t="s">
        <v>24</v>
      </c>
      <c r="I341" s="5342" t="s">
        <v>807</v>
      </c>
    </row>
    <row customHeight="1" ht="11.25">
      <c r="A342" s="5342" t="s">
        <v>2182</v>
      </c>
      <c r="B342" s="5342" t="s">
        <v>14</v>
      </c>
      <c r="C342" s="5342" t="s">
        <v>2936</v>
      </c>
      <c r="D342" s="5342" t="s">
        <v>2937</v>
      </c>
      <c r="E342" s="5342" t="s">
        <v>2938</v>
      </c>
      <c r="F342" s="5342" t="s">
        <v>2739</v>
      </c>
      <c r="G342" s="5342" t="s">
        <v>24</v>
      </c>
      <c r="H342" s="5342" t="s">
        <v>24</v>
      </c>
      <c r="I342" s="5342" t="s">
        <v>807</v>
      </c>
    </row>
    <row customHeight="1" ht="11.25">
      <c r="A343" s="5342" t="s">
        <v>2182</v>
      </c>
      <c r="B343" s="5342" t="s">
        <v>14</v>
      </c>
      <c r="C343" s="5342" t="s">
        <v>2939</v>
      </c>
      <c r="D343" s="5342" t="s">
        <v>2940</v>
      </c>
      <c r="E343" s="5342" t="s">
        <v>2941</v>
      </c>
      <c r="F343" s="5342" t="s">
        <v>2642</v>
      </c>
      <c r="G343" s="5342" t="s">
        <v>24</v>
      </c>
      <c r="H343" s="5342" t="s">
        <v>24</v>
      </c>
      <c r="I343" s="5342" t="s">
        <v>807</v>
      </c>
    </row>
    <row customHeight="1" ht="11.25">
      <c r="A344" s="5342" t="s">
        <v>2182</v>
      </c>
      <c r="B344" s="5342" t="s">
        <v>14</v>
      </c>
      <c r="C344" s="5342" t="s">
        <v>3028</v>
      </c>
      <c r="D344" s="5342" t="s">
        <v>3029</v>
      </c>
      <c r="E344" s="5342" t="s">
        <v>3030</v>
      </c>
      <c r="F344" s="5342" t="s">
        <v>3031</v>
      </c>
      <c r="G344" s="5342" t="s">
        <v>24</v>
      </c>
      <c r="H344" s="5342" t="s">
        <v>24</v>
      </c>
      <c r="I344" s="5342" t="s">
        <v>807</v>
      </c>
    </row>
    <row customHeight="1" ht="11.25">
      <c r="A345" s="5342" t="s">
        <v>2182</v>
      </c>
      <c r="B345" s="5342" t="s">
        <v>14</v>
      </c>
      <c r="C345" s="5342" t="s">
        <v>2942</v>
      </c>
      <c r="D345" s="5342" t="s">
        <v>2943</v>
      </c>
      <c r="E345" s="5342" t="s">
        <v>2944</v>
      </c>
      <c r="F345" s="5342" t="s">
        <v>2317</v>
      </c>
      <c r="G345" s="5342" t="s">
        <v>2945</v>
      </c>
      <c r="H345" s="5342" t="s">
        <v>24</v>
      </c>
      <c r="I345" s="5342" t="s">
        <v>807</v>
      </c>
    </row>
    <row customHeight="1" ht="11.25">
      <c r="A346" s="5342" t="s">
        <v>2182</v>
      </c>
      <c r="B346" s="5342" t="s">
        <v>14</v>
      </c>
      <c r="C346" s="5342" t="s">
        <v>2956</v>
      </c>
      <c r="D346" s="5342" t="s">
        <v>2957</v>
      </c>
      <c r="E346" s="5342" t="s">
        <v>2958</v>
      </c>
      <c r="F346" s="5342" t="s">
        <v>2959</v>
      </c>
      <c r="G346" s="5342" t="s">
        <v>24</v>
      </c>
      <c r="H346" s="5342" t="s">
        <v>24</v>
      </c>
      <c r="I346" s="5342" t="s">
        <v>807</v>
      </c>
    </row>
    <row customHeight="1" ht="11.25">
      <c r="A347" s="5342" t="s">
        <v>2182</v>
      </c>
      <c r="B347" s="5342" t="s">
        <v>14</v>
      </c>
      <c r="C347" s="5342" t="s">
        <v>2960</v>
      </c>
      <c r="D347" s="5342" t="s">
        <v>2961</v>
      </c>
      <c r="E347" s="5342" t="s">
        <v>2962</v>
      </c>
      <c r="F347" s="5342" t="s">
        <v>2317</v>
      </c>
      <c r="G347" s="5342" t="s">
        <v>2963</v>
      </c>
      <c r="H347" s="5342" t="s">
        <v>24</v>
      </c>
      <c r="I347" s="5342" t="s">
        <v>807</v>
      </c>
    </row>
    <row customHeight="1" ht="11.25">
      <c r="A348" s="5342" t="s">
        <v>2182</v>
      </c>
      <c r="B348" s="5342" t="s">
        <v>14</v>
      </c>
      <c r="C348" s="5342" t="s">
        <v>2964</v>
      </c>
      <c r="D348" s="5342" t="s">
        <v>2965</v>
      </c>
      <c r="E348" s="5342" t="s">
        <v>2966</v>
      </c>
      <c r="F348" s="5342" t="s">
        <v>2442</v>
      </c>
      <c r="G348" s="5342" t="s">
        <v>2967</v>
      </c>
      <c r="H348" s="5342" t="s">
        <v>24</v>
      </c>
      <c r="I348" s="5342" t="s">
        <v>807</v>
      </c>
    </row>
    <row customHeight="1" ht="11.25">
      <c r="A349" s="5342" t="s">
        <v>2182</v>
      </c>
      <c r="B349" s="5342" t="s">
        <v>14</v>
      </c>
      <c r="C349" s="5342" t="s">
        <v>3032</v>
      </c>
      <c r="D349" s="5342" t="s">
        <v>3033</v>
      </c>
      <c r="E349" s="5342" t="s">
        <v>3034</v>
      </c>
      <c r="F349" s="5342" t="s">
        <v>2253</v>
      </c>
      <c r="G349" s="5342" t="s">
        <v>24</v>
      </c>
      <c r="H349" s="5342" t="s">
        <v>24</v>
      </c>
      <c r="I349" s="5342" t="s">
        <v>807</v>
      </c>
    </row>
    <row customHeight="1" ht="11.25">
      <c r="A350" s="5342" t="s">
        <v>2182</v>
      </c>
      <c r="B350" s="5342" t="s">
        <v>14</v>
      </c>
      <c r="C350" s="5342" t="s">
        <v>2549</v>
      </c>
      <c r="D350" s="5342" t="s">
        <v>2550</v>
      </c>
      <c r="E350" s="5342" t="s">
        <v>2551</v>
      </c>
      <c r="F350" s="5342" t="s">
        <v>2552</v>
      </c>
      <c r="G350" s="5342" t="s">
        <v>24</v>
      </c>
      <c r="H350" s="5342" t="s">
        <v>24</v>
      </c>
      <c r="I350" s="5342" t="s">
        <v>807</v>
      </c>
    </row>
    <row customHeight="1" ht="11.25">
      <c r="A351" s="5342" t="s">
        <v>2182</v>
      </c>
      <c r="B351" s="5342" t="s">
        <v>14</v>
      </c>
      <c r="C351" s="5342" t="s">
        <v>2975</v>
      </c>
      <c r="D351" s="5342" t="s">
        <v>2976</v>
      </c>
      <c r="E351" s="5342" t="s">
        <v>2977</v>
      </c>
      <c r="F351" s="5342" t="s">
        <v>2301</v>
      </c>
      <c r="G351" s="5342" t="s">
        <v>2978</v>
      </c>
      <c r="H351" s="5342" t="s">
        <v>24</v>
      </c>
      <c r="I351" s="5342" t="s">
        <v>807</v>
      </c>
    </row>
    <row customHeight="1" ht="11.25">
      <c r="A352" s="5342" t="s">
        <v>2182</v>
      </c>
      <c r="B352" s="5342" t="s">
        <v>14</v>
      </c>
      <c r="C352" s="5342" t="s">
        <v>3035</v>
      </c>
      <c r="D352" s="5342" t="s">
        <v>3036</v>
      </c>
      <c r="E352" s="5342" t="s">
        <v>3037</v>
      </c>
      <c r="F352" s="5342" t="s">
        <v>2746</v>
      </c>
      <c r="G352" s="5342" t="s">
        <v>3038</v>
      </c>
      <c r="H352" s="5342" t="s">
        <v>24</v>
      </c>
      <c r="I352" s="5342" t="s">
        <v>807</v>
      </c>
    </row>
    <row customHeight="1" ht="11.25">
      <c r="A353" s="5342" t="s">
        <v>2182</v>
      </c>
      <c r="B353" s="5342" t="s">
        <v>14</v>
      </c>
      <c r="C353" s="5342" t="s">
        <v>2979</v>
      </c>
      <c r="D353" s="5342" t="s">
        <v>2980</v>
      </c>
      <c r="E353" s="5342" t="s">
        <v>2981</v>
      </c>
      <c r="F353" s="5342" t="s">
        <v>2982</v>
      </c>
      <c r="G353" s="5342" t="s">
        <v>24</v>
      </c>
      <c r="H353" s="5342" t="s">
        <v>24</v>
      </c>
      <c r="I353" s="5342" t="s">
        <v>807</v>
      </c>
    </row>
    <row customHeight="1" ht="11.25">
      <c r="A354" s="5342" t="s">
        <v>2182</v>
      </c>
      <c r="B354" s="5342" t="s">
        <v>14</v>
      </c>
      <c r="C354" s="5342" t="s">
        <v>3039</v>
      </c>
      <c r="D354" s="5342" t="s">
        <v>3040</v>
      </c>
      <c r="E354" s="5342" t="s">
        <v>3041</v>
      </c>
      <c r="F354" s="5342" t="s">
        <v>2438</v>
      </c>
      <c r="G354" s="5342" t="s">
        <v>3042</v>
      </c>
      <c r="H354" s="5342" t="s">
        <v>24</v>
      </c>
      <c r="I354" s="5342" t="s">
        <v>807</v>
      </c>
    </row>
    <row customHeight="1" ht="11.25">
      <c r="A355" s="5342" t="s">
        <v>2182</v>
      </c>
      <c r="B355" s="5342" t="s">
        <v>14</v>
      </c>
      <c r="C355" s="5342" t="s">
        <v>3043</v>
      </c>
      <c r="D355" s="5342" t="s">
        <v>3044</v>
      </c>
      <c r="E355" s="5342" t="s">
        <v>3045</v>
      </c>
      <c r="F355" s="5342" t="s">
        <v>2271</v>
      </c>
      <c r="G355" s="5342" t="s">
        <v>3046</v>
      </c>
      <c r="H355" s="5342" t="s">
        <v>24</v>
      </c>
      <c r="I355" s="5342" t="s">
        <v>807</v>
      </c>
    </row>
    <row customHeight="1" ht="11.25">
      <c r="A356" s="5342" t="s">
        <v>2182</v>
      </c>
      <c r="B356" s="5342" t="s">
        <v>14</v>
      </c>
      <c r="C356" s="5342" t="s">
        <v>2687</v>
      </c>
      <c r="D356" s="5342" t="s">
        <v>2688</v>
      </c>
      <c r="E356" s="5342" t="s">
        <v>2689</v>
      </c>
      <c r="F356" s="5342" t="s">
        <v>2423</v>
      </c>
      <c r="G356" s="5342" t="s">
        <v>24</v>
      </c>
      <c r="H356" s="5342" t="s">
        <v>24</v>
      </c>
      <c r="I356" s="5342" t="s">
        <v>807</v>
      </c>
    </row>
    <row customHeight="1" ht="11.25">
      <c r="A357" s="5342" t="s">
        <v>2182</v>
      </c>
      <c r="B357" s="5342" t="s">
        <v>14</v>
      </c>
      <c r="C357" s="5342" t="s">
        <v>2694</v>
      </c>
      <c r="D357" s="5342" t="s">
        <v>2695</v>
      </c>
      <c r="E357" s="5342" t="s">
        <v>2696</v>
      </c>
      <c r="F357" s="5342" t="s">
        <v>2697</v>
      </c>
      <c r="G357" s="5342" t="s">
        <v>24</v>
      </c>
      <c r="H357" s="5342" t="s">
        <v>24</v>
      </c>
      <c r="I357" s="5342" t="s">
        <v>807</v>
      </c>
    </row>
    <row customHeight="1" ht="11.25">
      <c r="A358" s="5342" t="s">
        <v>2182</v>
      </c>
      <c r="B358" s="5342" t="s">
        <v>14</v>
      </c>
      <c r="C358" s="5342" t="s">
        <v>2993</v>
      </c>
      <c r="D358" s="5342" t="s">
        <v>2994</v>
      </c>
      <c r="E358" s="5342" t="s">
        <v>2995</v>
      </c>
      <c r="F358" s="5342" t="s">
        <v>2271</v>
      </c>
      <c r="G358" s="5342" t="s">
        <v>24</v>
      </c>
      <c r="H358" s="5342" t="s">
        <v>24</v>
      </c>
      <c r="I358" s="5342" t="s">
        <v>807</v>
      </c>
    </row>
    <row customHeight="1" ht="11.25">
      <c r="A359" s="5342" t="s">
        <v>2182</v>
      </c>
      <c r="B359" s="5342" t="s">
        <v>14</v>
      </c>
      <c r="C359" s="5342" t="s">
        <v>2996</v>
      </c>
      <c r="D359" s="5342" t="s">
        <v>2997</v>
      </c>
      <c r="E359" s="5342" t="s">
        <v>2998</v>
      </c>
      <c r="F359" s="5342" t="s">
        <v>2746</v>
      </c>
      <c r="G359" s="5342" t="s">
        <v>2935</v>
      </c>
      <c r="H359" s="5342" t="s">
        <v>24</v>
      </c>
      <c r="I359" s="5342" t="s">
        <v>807</v>
      </c>
    </row>
    <row customHeight="1" ht="11.25">
      <c r="A360" s="5342" t="s">
        <v>2182</v>
      </c>
      <c r="B360" s="5342" t="s">
        <v>14</v>
      </c>
      <c r="C360" s="5342" t="s">
        <v>24</v>
      </c>
      <c r="D360" s="5342" t="s">
        <v>2708</v>
      </c>
      <c r="E360" s="5342" t="s">
        <v>2709</v>
      </c>
      <c r="F360" s="5342" t="s">
        <v>2442</v>
      </c>
      <c r="G360" s="5342" t="s">
        <v>24</v>
      </c>
      <c r="H360" s="5342" t="s">
        <v>24</v>
      </c>
      <c r="I360" s="5342" t="s">
        <v>807</v>
      </c>
    </row>
    <row customHeight="1" ht="11.25">
      <c r="A361" s="5342" t="s">
        <v>2182</v>
      </c>
      <c r="B361" s="5342" t="s">
        <v>14</v>
      </c>
      <c r="C361" s="5342" t="s">
        <v>2717</v>
      </c>
      <c r="D361" s="5342" t="s">
        <v>2718</v>
      </c>
      <c r="E361" s="5342" t="s">
        <v>2712</v>
      </c>
      <c r="F361" s="5342" t="s">
        <v>2719</v>
      </c>
      <c r="G361" s="5342" t="s">
        <v>24</v>
      </c>
      <c r="H361" s="5342" t="s">
        <v>24</v>
      </c>
      <c r="I361" s="5342" t="s">
        <v>807</v>
      </c>
    </row>
    <row customHeight="1" ht="11.25">
      <c r="A362" s="5342" t="s">
        <v>2182</v>
      </c>
      <c r="B362" s="5342" t="s">
        <v>14</v>
      </c>
      <c r="C362" s="5342" t="s">
        <v>3008</v>
      </c>
      <c r="D362" s="5342" t="s">
        <v>3009</v>
      </c>
      <c r="E362" s="5342" t="s">
        <v>3010</v>
      </c>
      <c r="F362" s="5342" t="s">
        <v>2430</v>
      </c>
      <c r="G362" s="5342" t="s">
        <v>24</v>
      </c>
      <c r="H362" s="5342" t="s">
        <v>24</v>
      </c>
      <c r="I362" s="5342" t="s">
        <v>807</v>
      </c>
    </row>
    <row customHeight="1" ht="11.25">
      <c r="A363" s="5342" t="s">
        <v>2182</v>
      </c>
      <c r="B363" s="5342" t="s">
        <v>14</v>
      </c>
      <c r="C363" s="5342" t="s">
        <v>2730</v>
      </c>
      <c r="D363" s="5342" t="s">
        <v>2731</v>
      </c>
      <c r="E363" s="5342" t="s">
        <v>2732</v>
      </c>
      <c r="F363" s="5342" t="s">
        <v>2430</v>
      </c>
      <c r="G363" s="5342" t="s">
        <v>24</v>
      </c>
      <c r="H363" s="5342" t="s">
        <v>24</v>
      </c>
      <c r="I363" s="5342" t="s">
        <v>807</v>
      </c>
    </row>
    <row customHeight="1" ht="11.25">
      <c r="A364" s="5342" t="s">
        <v>2182</v>
      </c>
      <c r="B364" s="5342" t="s">
        <v>14</v>
      </c>
      <c r="C364" s="5342" t="s">
        <v>2733</v>
      </c>
      <c r="D364" s="5342" t="s">
        <v>2734</v>
      </c>
      <c r="E364" s="5342" t="s">
        <v>2735</v>
      </c>
      <c r="F364" s="5342" t="s">
        <v>2430</v>
      </c>
      <c r="G364" s="5342" t="s">
        <v>24</v>
      </c>
      <c r="H364" s="5342" t="s">
        <v>24</v>
      </c>
      <c r="I364" s="5342" t="s">
        <v>807</v>
      </c>
    </row>
    <row customHeight="1" ht="11.25">
      <c r="A365" s="5342" t="s">
        <v>2182</v>
      </c>
      <c r="B365" s="5342" t="s">
        <v>14</v>
      </c>
      <c r="C365" s="5342" t="s">
        <v>2736</v>
      </c>
      <c r="D365" s="5342" t="s">
        <v>2737</v>
      </c>
      <c r="E365" s="5342" t="s">
        <v>2738</v>
      </c>
      <c r="F365" s="5342" t="s">
        <v>2739</v>
      </c>
      <c r="G365" s="5342" t="s">
        <v>24</v>
      </c>
      <c r="H365" s="5342" t="s">
        <v>24</v>
      </c>
      <c r="I365" s="5342" t="s">
        <v>807</v>
      </c>
    </row>
    <row customHeight="1" ht="11.25">
      <c r="A366" s="5342" t="s">
        <v>2182</v>
      </c>
      <c r="B366" s="5342" t="s">
        <v>14</v>
      </c>
      <c r="C366" s="5342" t="s">
        <v>2743</v>
      </c>
      <c r="D366" s="5342" t="s">
        <v>2744</v>
      </c>
      <c r="E366" s="5342" t="s">
        <v>2745</v>
      </c>
      <c r="F366" s="5342" t="s">
        <v>2746</v>
      </c>
      <c r="G366" s="5342" t="s">
        <v>24</v>
      </c>
      <c r="H366" s="5342" t="s">
        <v>24</v>
      </c>
      <c r="I366" s="5342" t="s">
        <v>807</v>
      </c>
    </row>
    <row customHeight="1" ht="11.25">
      <c r="A367" s="5342" t="s">
        <v>2182</v>
      </c>
      <c r="B367" s="5342" t="s">
        <v>14</v>
      </c>
      <c r="C367" s="5342" t="s">
        <v>2747</v>
      </c>
      <c r="D367" s="5342" t="s">
        <v>2748</v>
      </c>
      <c r="E367" s="5342" t="s">
        <v>2745</v>
      </c>
      <c r="F367" s="5342" t="s">
        <v>2749</v>
      </c>
      <c r="G367" s="5342" t="s">
        <v>2750</v>
      </c>
      <c r="H367" s="5342" t="s">
        <v>24</v>
      </c>
      <c r="I367" s="5342" t="s">
        <v>807</v>
      </c>
    </row>
    <row customHeight="1" ht="11.25">
      <c r="A368" s="5342" t="s">
        <v>2182</v>
      </c>
      <c r="B368" s="5342" t="s">
        <v>14</v>
      </c>
      <c r="C368" s="5342" t="s">
        <v>2762</v>
      </c>
      <c r="D368" s="5342" t="s">
        <v>2763</v>
      </c>
      <c r="E368" s="5342" t="s">
        <v>2764</v>
      </c>
      <c r="F368" s="5342" t="s">
        <v>2765</v>
      </c>
      <c r="G368" s="5342" t="s">
        <v>24</v>
      </c>
      <c r="H368" s="5342" t="s">
        <v>24</v>
      </c>
      <c r="I368" s="5342" t="s">
        <v>807</v>
      </c>
    </row>
    <row customHeight="1" ht="11.25">
      <c r="A369" s="5342" t="s">
        <v>2182</v>
      </c>
      <c r="B369" s="5342" t="s">
        <v>14</v>
      </c>
      <c r="C369" s="5342" t="s">
        <v>2229</v>
      </c>
      <c r="D369" s="5342" t="s">
        <v>2230</v>
      </c>
      <c r="E369" s="5342" t="s">
        <v>2231</v>
      </c>
      <c r="F369" s="5342" t="s">
        <v>2232</v>
      </c>
      <c r="G369" s="5342" t="s">
        <v>24</v>
      </c>
      <c r="H369" s="5342" t="s">
        <v>24</v>
      </c>
      <c r="I369" s="5342" t="s">
        <v>1623</v>
      </c>
    </row>
    <row customHeight="1" ht="11.25">
      <c r="A370" s="5342" t="s">
        <v>2182</v>
      </c>
      <c r="B370" s="5342" t="s">
        <v>14</v>
      </c>
      <c r="C370" s="5342" t="s">
        <v>2786</v>
      </c>
      <c r="D370" s="5342" t="s">
        <v>2787</v>
      </c>
      <c r="E370" s="5342" t="s">
        <v>2788</v>
      </c>
      <c r="F370" s="5342" t="s">
        <v>2789</v>
      </c>
      <c r="G370" s="5342" t="s">
        <v>24</v>
      </c>
      <c r="H370" s="5342" t="s">
        <v>24</v>
      </c>
      <c r="I370" s="5342" t="s">
        <v>1623</v>
      </c>
    </row>
    <row customHeight="1" ht="11.25">
      <c r="A371" s="5342" t="s">
        <v>2182</v>
      </c>
      <c r="B371" s="5342" t="s">
        <v>14</v>
      </c>
      <c r="C371" s="5342" t="s">
        <v>2257</v>
      </c>
      <c r="D371" s="5342" t="s">
        <v>2258</v>
      </c>
      <c r="E371" s="5342" t="s">
        <v>2259</v>
      </c>
      <c r="F371" s="5342" t="s">
        <v>2260</v>
      </c>
      <c r="G371" s="5342" t="s">
        <v>24</v>
      </c>
      <c r="H371" s="5342" t="s">
        <v>24</v>
      </c>
      <c r="I371" s="5342" t="s">
        <v>1623</v>
      </c>
    </row>
    <row customHeight="1" ht="11.25">
      <c r="A372" s="5342" t="s">
        <v>2182</v>
      </c>
      <c r="B372" s="5342" t="s">
        <v>14</v>
      </c>
      <c r="C372" s="5342" t="s">
        <v>2275</v>
      </c>
      <c r="D372" s="5342" t="s">
        <v>2276</v>
      </c>
      <c r="E372" s="5342" t="s">
        <v>2277</v>
      </c>
      <c r="F372" s="5342" t="s">
        <v>2278</v>
      </c>
      <c r="G372" s="5342" t="s">
        <v>24</v>
      </c>
      <c r="H372" s="5342" t="s">
        <v>24</v>
      </c>
      <c r="I372" s="5342" t="s">
        <v>1623</v>
      </c>
    </row>
    <row customHeight="1" ht="11.25">
      <c r="A373" s="5342" t="s">
        <v>2182</v>
      </c>
      <c r="B373" s="5342" t="s">
        <v>14</v>
      </c>
      <c r="C373" s="5342" t="s">
        <v>3047</v>
      </c>
      <c r="D373" s="5342" t="s">
        <v>3048</v>
      </c>
      <c r="E373" s="5342" t="s">
        <v>3049</v>
      </c>
      <c r="F373" s="5342" t="s">
        <v>562</v>
      </c>
      <c r="G373" s="5342" t="s">
        <v>24</v>
      </c>
      <c r="H373" s="5342" t="s">
        <v>24</v>
      </c>
      <c r="I373" s="5342" t="s">
        <v>1623</v>
      </c>
    </row>
    <row customHeight="1" ht="11.25">
      <c r="A374" s="5342" t="s">
        <v>2182</v>
      </c>
      <c r="B374" s="5342" t="s">
        <v>14</v>
      </c>
      <c r="C374" s="5342" t="s">
        <v>3050</v>
      </c>
      <c r="D374" s="5342" t="s">
        <v>3051</v>
      </c>
      <c r="E374" s="5342" t="s">
        <v>3052</v>
      </c>
      <c r="F374" s="5342" t="s">
        <v>562</v>
      </c>
      <c r="G374" s="5342" t="s">
        <v>24</v>
      </c>
      <c r="H374" s="5342" t="s">
        <v>24</v>
      </c>
      <c r="I374" s="5342" t="s">
        <v>1623</v>
      </c>
    </row>
    <row customHeight="1" ht="11.25">
      <c r="A375" s="5342" t="s">
        <v>2182</v>
      </c>
      <c r="B375" s="5342" t="s">
        <v>14</v>
      </c>
      <c r="C375" s="5342" t="s">
        <v>3053</v>
      </c>
      <c r="D375" s="5342" t="s">
        <v>3054</v>
      </c>
      <c r="E375" s="5342" t="s">
        <v>3055</v>
      </c>
      <c r="F375" s="5342" t="s">
        <v>562</v>
      </c>
      <c r="G375" s="5342" t="s">
        <v>24</v>
      </c>
      <c r="H375" s="5342" t="s">
        <v>24</v>
      </c>
      <c r="I375" s="5342" t="s">
        <v>1623</v>
      </c>
    </row>
    <row customHeight="1" ht="11.25">
      <c r="A376" s="5342" t="s">
        <v>2182</v>
      </c>
      <c r="B376" s="5342" t="s">
        <v>14</v>
      </c>
      <c r="C376" s="5342" t="s">
        <v>3056</v>
      </c>
      <c r="D376" s="5342" t="s">
        <v>3057</v>
      </c>
      <c r="E376" s="5342" t="s">
        <v>3058</v>
      </c>
      <c r="F376" s="5342" t="s">
        <v>562</v>
      </c>
      <c r="G376" s="5342" t="s">
        <v>24</v>
      </c>
      <c r="H376" s="5342" t="s">
        <v>24</v>
      </c>
      <c r="I376" s="5342" t="s">
        <v>1623</v>
      </c>
    </row>
    <row customHeight="1" ht="11.25">
      <c r="A377" s="5342" t="s">
        <v>2182</v>
      </c>
      <c r="B377" s="5342" t="s">
        <v>14</v>
      </c>
      <c r="C377" s="5342" t="s">
        <v>3017</v>
      </c>
      <c r="D377" s="5342" t="s">
        <v>3018</v>
      </c>
      <c r="E377" s="5342" t="s">
        <v>3019</v>
      </c>
      <c r="F377" s="5342" t="s">
        <v>2642</v>
      </c>
      <c r="G377" s="5342" t="s">
        <v>3020</v>
      </c>
      <c r="H377" s="5342" t="s">
        <v>24</v>
      </c>
      <c r="I377" s="5342" t="s">
        <v>1623</v>
      </c>
    </row>
    <row customHeight="1" ht="11.25">
      <c r="A378" s="5342" t="s">
        <v>2182</v>
      </c>
      <c r="B378" s="5342" t="s">
        <v>14</v>
      </c>
      <c r="C378" s="5342" t="s">
        <v>3059</v>
      </c>
      <c r="D378" s="5342" t="s">
        <v>3060</v>
      </c>
      <c r="E378" s="5342" t="s">
        <v>3061</v>
      </c>
      <c r="F378" s="5342" t="s">
        <v>2317</v>
      </c>
      <c r="G378" s="5342" t="s">
        <v>24</v>
      </c>
      <c r="H378" s="5342" t="s">
        <v>24</v>
      </c>
      <c r="I378" s="5342" t="s">
        <v>1623</v>
      </c>
    </row>
    <row customHeight="1" ht="11.25">
      <c r="A379" s="5342" t="s">
        <v>2182</v>
      </c>
      <c r="B379" s="5342" t="s">
        <v>14</v>
      </c>
      <c r="C379" s="5342" t="s">
        <v>3062</v>
      </c>
      <c r="D379" s="5342" t="s">
        <v>3063</v>
      </c>
      <c r="E379" s="5342" t="s">
        <v>3064</v>
      </c>
      <c r="F379" s="5342" t="s">
        <v>3065</v>
      </c>
      <c r="G379" s="5342" t="s">
        <v>24</v>
      </c>
      <c r="H379" s="5342" t="s">
        <v>24</v>
      </c>
      <c r="I379" s="5342" t="s">
        <v>1623</v>
      </c>
    </row>
    <row customHeight="1" ht="11.25">
      <c r="A380" s="5342" t="s">
        <v>2182</v>
      </c>
      <c r="B380" s="5342" t="s">
        <v>14</v>
      </c>
      <c r="C380" s="5342" t="s">
        <v>2850</v>
      </c>
      <c r="D380" s="5342" t="s">
        <v>2851</v>
      </c>
      <c r="E380" s="5342" t="s">
        <v>2852</v>
      </c>
      <c r="F380" s="5342" t="s">
        <v>2610</v>
      </c>
      <c r="G380" s="5342" t="s">
        <v>24</v>
      </c>
      <c r="H380" s="5342" t="s">
        <v>24</v>
      </c>
      <c r="I380" s="5342" t="s">
        <v>1623</v>
      </c>
    </row>
    <row customHeight="1" ht="11.25">
      <c r="A381" s="5342" t="s">
        <v>2182</v>
      </c>
      <c r="B381" s="5342" t="s">
        <v>14</v>
      </c>
      <c r="C381" s="5342" t="s">
        <v>2853</v>
      </c>
      <c r="D381" s="5342" t="s">
        <v>2854</v>
      </c>
      <c r="E381" s="5342" t="s">
        <v>2855</v>
      </c>
      <c r="F381" s="5342" t="s">
        <v>2294</v>
      </c>
      <c r="G381" s="5342" t="s">
        <v>24</v>
      </c>
      <c r="H381" s="5342" t="s">
        <v>24</v>
      </c>
      <c r="I381" s="5342" t="s">
        <v>1623</v>
      </c>
    </row>
    <row customHeight="1" ht="11.25">
      <c r="A382" s="5342" t="s">
        <v>2182</v>
      </c>
      <c r="B382" s="5342" t="s">
        <v>14</v>
      </c>
      <c r="C382" s="5342" t="s">
        <v>3066</v>
      </c>
      <c r="D382" s="5342" t="s">
        <v>3067</v>
      </c>
      <c r="E382" s="5342" t="s">
        <v>3068</v>
      </c>
      <c r="F382" s="5342" t="s">
        <v>2438</v>
      </c>
      <c r="G382" s="5342" t="s">
        <v>3069</v>
      </c>
      <c r="H382" s="5342" t="s">
        <v>24</v>
      </c>
      <c r="I382" s="5342" t="s">
        <v>1623</v>
      </c>
    </row>
    <row customHeight="1" ht="11.25">
      <c r="A383" s="5342" t="s">
        <v>2182</v>
      </c>
      <c r="B383" s="5342" t="s">
        <v>14</v>
      </c>
      <c r="C383" s="5342" t="s">
        <v>3070</v>
      </c>
      <c r="D383" s="5342" t="s">
        <v>3071</v>
      </c>
      <c r="E383" s="5342" t="s">
        <v>3072</v>
      </c>
      <c r="F383" s="5342" t="s">
        <v>3073</v>
      </c>
      <c r="G383" s="5342" t="s">
        <v>3074</v>
      </c>
      <c r="H383" s="5342" t="s">
        <v>24</v>
      </c>
      <c r="I383" s="5342" t="s">
        <v>1623</v>
      </c>
    </row>
    <row customHeight="1" ht="11.25">
      <c r="A384" s="5342" t="s">
        <v>2182</v>
      </c>
      <c r="B384" s="5342" t="s">
        <v>14</v>
      </c>
      <c r="C384" s="5342" t="s">
        <v>3075</v>
      </c>
      <c r="D384" s="5342" t="s">
        <v>3076</v>
      </c>
      <c r="E384" s="5342" t="s">
        <v>3077</v>
      </c>
      <c r="F384" s="5342" t="s">
        <v>2414</v>
      </c>
      <c r="G384" s="5342" t="s">
        <v>24</v>
      </c>
      <c r="H384" s="5342" t="s">
        <v>24</v>
      </c>
      <c r="I384" s="5342" t="s">
        <v>1623</v>
      </c>
    </row>
    <row customHeight="1" ht="11.25">
      <c r="A385" s="5342" t="s">
        <v>2182</v>
      </c>
      <c r="B385" s="5342" t="s">
        <v>14</v>
      </c>
      <c r="C385" s="5342" t="s">
        <v>2391</v>
      </c>
      <c r="D385" s="5342" t="s">
        <v>2392</v>
      </c>
      <c r="E385" s="5342" t="s">
        <v>2393</v>
      </c>
      <c r="F385" s="5342" t="s">
        <v>2394</v>
      </c>
      <c r="G385" s="5342" t="s">
        <v>24</v>
      </c>
      <c r="H385" s="5342" t="s">
        <v>24</v>
      </c>
      <c r="I385" s="5342" t="s">
        <v>1623</v>
      </c>
    </row>
    <row customHeight="1" ht="11.25">
      <c r="A386" s="5342" t="s">
        <v>2182</v>
      </c>
      <c r="B386" s="5342" t="s">
        <v>14</v>
      </c>
      <c r="C386" s="5342" t="s">
        <v>2892</v>
      </c>
      <c r="D386" s="5342" t="s">
        <v>2893</v>
      </c>
      <c r="E386" s="5342" t="s">
        <v>2894</v>
      </c>
      <c r="F386" s="5342" t="s">
        <v>2895</v>
      </c>
      <c r="G386" s="5342" t="s">
        <v>24</v>
      </c>
      <c r="H386" s="5342" t="s">
        <v>24</v>
      </c>
      <c r="I386" s="5342" t="s">
        <v>1623</v>
      </c>
    </row>
    <row customHeight="1" ht="11.25">
      <c r="A387" s="5342" t="s">
        <v>2182</v>
      </c>
      <c r="B387" s="5342" t="s">
        <v>14</v>
      </c>
      <c r="C387" s="5342" t="s">
        <v>2896</v>
      </c>
      <c r="D387" s="5342" t="s">
        <v>2897</v>
      </c>
      <c r="E387" s="5342" t="s">
        <v>2898</v>
      </c>
      <c r="F387" s="5342" t="s">
        <v>2446</v>
      </c>
      <c r="G387" s="5342" t="s">
        <v>2899</v>
      </c>
      <c r="H387" s="5342" t="s">
        <v>24</v>
      </c>
      <c r="I387" s="5342" t="s">
        <v>1623</v>
      </c>
    </row>
    <row customHeight="1" ht="11.25">
      <c r="A388" s="5342" t="s">
        <v>2182</v>
      </c>
      <c r="B388" s="5342" t="s">
        <v>14</v>
      </c>
      <c r="C388" s="5342" t="s">
        <v>2399</v>
      </c>
      <c r="D388" s="5342" t="s">
        <v>2400</v>
      </c>
      <c r="E388" s="5342" t="s">
        <v>2401</v>
      </c>
      <c r="F388" s="5342" t="s">
        <v>2402</v>
      </c>
      <c r="G388" s="5342" t="s">
        <v>24</v>
      </c>
      <c r="H388" s="5342" t="s">
        <v>24</v>
      </c>
      <c r="I388" s="5342" t="s">
        <v>1623</v>
      </c>
    </row>
    <row customHeight="1" ht="11.25">
      <c r="A389" s="5342" t="s">
        <v>2182</v>
      </c>
      <c r="B389" s="5342" t="s">
        <v>14</v>
      </c>
      <c r="C389" s="5342" t="s">
        <v>2407</v>
      </c>
      <c r="D389" s="5342" t="s">
        <v>2408</v>
      </c>
      <c r="E389" s="5342" t="s">
        <v>2409</v>
      </c>
      <c r="F389" s="5342" t="s">
        <v>2410</v>
      </c>
      <c r="G389" s="5342" t="s">
        <v>24</v>
      </c>
      <c r="H389" s="5342" t="s">
        <v>24</v>
      </c>
      <c r="I389" s="5342" t="s">
        <v>1623</v>
      </c>
    </row>
    <row customHeight="1" ht="11.25">
      <c r="A390" s="5342" t="s">
        <v>2182</v>
      </c>
      <c r="B390" s="5342" t="s">
        <v>14</v>
      </c>
      <c r="C390" s="5342" t="s">
        <v>3078</v>
      </c>
      <c r="D390" s="5342" t="s">
        <v>3079</v>
      </c>
      <c r="E390" s="5342" t="s">
        <v>3080</v>
      </c>
      <c r="F390" s="5342" t="s">
        <v>2253</v>
      </c>
      <c r="G390" s="5342" t="s">
        <v>24</v>
      </c>
      <c r="H390" s="5342" t="s">
        <v>24</v>
      </c>
      <c r="I390" s="5342" t="s">
        <v>1623</v>
      </c>
    </row>
    <row customHeight="1" ht="11.25">
      <c r="A391" s="5342" t="s">
        <v>2182</v>
      </c>
      <c r="B391" s="5342" t="s">
        <v>14</v>
      </c>
      <c r="C391" s="5342" t="s">
        <v>3081</v>
      </c>
      <c r="D391" s="5342" t="s">
        <v>3082</v>
      </c>
      <c r="E391" s="5342" t="s">
        <v>3083</v>
      </c>
      <c r="F391" s="5342" t="s">
        <v>2890</v>
      </c>
      <c r="G391" s="5342" t="s">
        <v>24</v>
      </c>
      <c r="H391" s="5342" t="s">
        <v>24</v>
      </c>
      <c r="I391" s="5342" t="s">
        <v>1623</v>
      </c>
    </row>
    <row customHeight="1" ht="11.25">
      <c r="A392" s="5342" t="s">
        <v>2182</v>
      </c>
      <c r="B392" s="5342" t="s">
        <v>14</v>
      </c>
      <c r="C392" s="5342" t="s">
        <v>3084</v>
      </c>
      <c r="D392" s="5342" t="s">
        <v>3085</v>
      </c>
      <c r="E392" s="5342" t="s">
        <v>3086</v>
      </c>
      <c r="F392" s="5342" t="s">
        <v>2446</v>
      </c>
      <c r="G392" s="5342" t="s">
        <v>24</v>
      </c>
      <c r="H392" s="5342" t="s">
        <v>24</v>
      </c>
      <c r="I392" s="5342" t="s">
        <v>1623</v>
      </c>
    </row>
    <row customHeight="1" ht="11.25">
      <c r="A393" s="5342" t="s">
        <v>2182</v>
      </c>
      <c r="B393" s="5342" t="s">
        <v>14</v>
      </c>
      <c r="C393" s="5342" t="s">
        <v>3087</v>
      </c>
      <c r="D393" s="5342" t="s">
        <v>3088</v>
      </c>
      <c r="E393" s="5342" t="s">
        <v>3089</v>
      </c>
      <c r="F393" s="5342" t="s">
        <v>2615</v>
      </c>
      <c r="G393" s="5342" t="s">
        <v>24</v>
      </c>
      <c r="H393" s="5342" t="s">
        <v>24</v>
      </c>
      <c r="I393" s="5342" t="s">
        <v>1623</v>
      </c>
    </row>
    <row customHeight="1" ht="11.25">
      <c r="A394" s="5342" t="s">
        <v>2182</v>
      </c>
      <c r="B394" s="5342" t="s">
        <v>14</v>
      </c>
      <c r="C394" s="5342" t="s">
        <v>3090</v>
      </c>
      <c r="D394" s="5342" t="s">
        <v>3091</v>
      </c>
      <c r="E394" s="5342" t="s">
        <v>3092</v>
      </c>
      <c r="F394" s="5342" t="s">
        <v>562</v>
      </c>
      <c r="G394" s="5342" t="s">
        <v>24</v>
      </c>
      <c r="H394" s="5342" t="s">
        <v>24</v>
      </c>
      <c r="I394" s="5342" t="s">
        <v>1623</v>
      </c>
    </row>
    <row customHeight="1" ht="11.25">
      <c r="A395" s="5342" t="s">
        <v>2182</v>
      </c>
      <c r="B395" s="5342" t="s">
        <v>14</v>
      </c>
      <c r="C395" s="5342" t="s">
        <v>3093</v>
      </c>
      <c r="D395" s="5342" t="s">
        <v>3094</v>
      </c>
      <c r="E395" s="5342" t="s">
        <v>3095</v>
      </c>
      <c r="F395" s="5342" t="s">
        <v>2193</v>
      </c>
      <c r="G395" s="5342" t="s">
        <v>24</v>
      </c>
      <c r="H395" s="5342" t="s">
        <v>24</v>
      </c>
      <c r="I395" s="5342" t="s">
        <v>1623</v>
      </c>
    </row>
    <row customHeight="1" ht="11.25">
      <c r="A396" s="5342" t="s">
        <v>2182</v>
      </c>
      <c r="B396" s="5342" t="s">
        <v>14</v>
      </c>
      <c r="C396" s="5342" t="s">
        <v>3096</v>
      </c>
      <c r="D396" s="5342" t="s">
        <v>3097</v>
      </c>
      <c r="E396" s="5342" t="s">
        <v>3098</v>
      </c>
      <c r="F396" s="5342" t="s">
        <v>2193</v>
      </c>
      <c r="G396" s="5342" t="s">
        <v>24</v>
      </c>
      <c r="H396" s="5342" t="s">
        <v>24</v>
      </c>
      <c r="I396" s="5342" t="s">
        <v>1623</v>
      </c>
    </row>
    <row customHeight="1" ht="11.25">
      <c r="A397" s="5342" t="s">
        <v>2182</v>
      </c>
      <c r="B397" s="5342" t="s">
        <v>14</v>
      </c>
      <c r="C397" s="5342" t="s">
        <v>3099</v>
      </c>
      <c r="D397" s="5342" t="s">
        <v>3100</v>
      </c>
      <c r="E397" s="5342" t="s">
        <v>3101</v>
      </c>
      <c r="F397" s="5342" t="s">
        <v>3102</v>
      </c>
      <c r="G397" s="5342" t="s">
        <v>24</v>
      </c>
      <c r="H397" s="5342" t="s">
        <v>24</v>
      </c>
      <c r="I397" s="5342" t="s">
        <v>1623</v>
      </c>
    </row>
    <row customHeight="1" ht="11.25">
      <c r="A398" s="5342" t="s">
        <v>2182</v>
      </c>
      <c r="B398" s="5342" t="s">
        <v>14</v>
      </c>
      <c r="C398" s="5342" t="s">
        <v>3103</v>
      </c>
      <c r="D398" s="5342" t="s">
        <v>3104</v>
      </c>
      <c r="E398" s="5342" t="s">
        <v>3105</v>
      </c>
      <c r="F398" s="5342" t="s">
        <v>2317</v>
      </c>
      <c r="G398" s="5342" t="s">
        <v>24</v>
      </c>
      <c r="H398" s="5342" t="s">
        <v>24</v>
      </c>
      <c r="I398" s="5342" t="s">
        <v>1623</v>
      </c>
    </row>
    <row customHeight="1" ht="11.25">
      <c r="A399" s="5342" t="s">
        <v>2182</v>
      </c>
      <c r="B399" s="5342" t="s">
        <v>14</v>
      </c>
      <c r="C399" s="5342" t="s">
        <v>3106</v>
      </c>
      <c r="D399" s="5342" t="s">
        <v>3107</v>
      </c>
      <c r="E399" s="5342" t="s">
        <v>3108</v>
      </c>
      <c r="F399" s="5342" t="s">
        <v>2351</v>
      </c>
      <c r="G399" s="5342" t="s">
        <v>24</v>
      </c>
      <c r="H399" s="5342" t="s">
        <v>24</v>
      </c>
      <c r="I399" s="5342" t="s">
        <v>1623</v>
      </c>
    </row>
    <row customHeight="1" ht="11.25">
      <c r="A400" s="5342" t="s">
        <v>2182</v>
      </c>
      <c r="B400" s="5342" t="s">
        <v>14</v>
      </c>
      <c r="C400" s="5342" t="s">
        <v>3109</v>
      </c>
      <c r="D400" s="5342" t="s">
        <v>3110</v>
      </c>
      <c r="E400" s="5342" t="s">
        <v>3111</v>
      </c>
      <c r="F400" s="5342" t="s">
        <v>2309</v>
      </c>
      <c r="G400" s="5342" t="s">
        <v>24</v>
      </c>
      <c r="H400" s="5342" t="s">
        <v>24</v>
      </c>
      <c r="I400" s="5342" t="s">
        <v>1623</v>
      </c>
    </row>
    <row customHeight="1" ht="11.25">
      <c r="A401" s="5342" t="s">
        <v>2182</v>
      </c>
      <c r="B401" s="5342" t="s">
        <v>14</v>
      </c>
      <c r="C401" s="5342" t="s">
        <v>3112</v>
      </c>
      <c r="D401" s="5342" t="s">
        <v>3113</v>
      </c>
      <c r="E401" s="5342" t="s">
        <v>3114</v>
      </c>
      <c r="F401" s="5342" t="s">
        <v>2317</v>
      </c>
      <c r="G401" s="5342" t="s">
        <v>24</v>
      </c>
      <c r="H401" s="5342" t="s">
        <v>24</v>
      </c>
      <c r="I401" s="5342" t="s">
        <v>1623</v>
      </c>
    </row>
    <row customHeight="1" ht="11.25">
      <c r="A402" s="5342" t="s">
        <v>2182</v>
      </c>
      <c r="B402" s="5342" t="s">
        <v>14</v>
      </c>
      <c r="C402" s="5342" t="s">
        <v>3115</v>
      </c>
      <c r="D402" s="5342" t="s">
        <v>3116</v>
      </c>
      <c r="E402" s="5342" t="s">
        <v>3117</v>
      </c>
      <c r="F402" s="5342" t="s">
        <v>2848</v>
      </c>
      <c r="G402" s="5342" t="s">
        <v>24</v>
      </c>
      <c r="H402" s="5342" t="s">
        <v>24</v>
      </c>
      <c r="I402" s="5342" t="s">
        <v>1623</v>
      </c>
    </row>
    <row customHeight="1" ht="11.25">
      <c r="A403" s="5342" t="s">
        <v>2182</v>
      </c>
      <c r="B403" s="5342" t="s">
        <v>14</v>
      </c>
      <c r="C403" s="5342" t="s">
        <v>3118</v>
      </c>
      <c r="D403" s="5342" t="s">
        <v>3119</v>
      </c>
      <c r="E403" s="5342" t="s">
        <v>3120</v>
      </c>
      <c r="F403" s="5342" t="s">
        <v>2223</v>
      </c>
      <c r="G403" s="5342" t="s">
        <v>24</v>
      </c>
      <c r="H403" s="5342" t="s">
        <v>24</v>
      </c>
      <c r="I403" s="5342" t="s">
        <v>1623</v>
      </c>
    </row>
    <row customHeight="1" ht="11.25">
      <c r="A404" s="5342" t="s">
        <v>2182</v>
      </c>
      <c r="B404" s="5342" t="s">
        <v>14</v>
      </c>
      <c r="C404" s="5342" t="s">
        <v>3121</v>
      </c>
      <c r="D404" s="5342" t="s">
        <v>3122</v>
      </c>
      <c r="E404" s="5342" t="s">
        <v>3089</v>
      </c>
      <c r="F404" s="5342" t="s">
        <v>3123</v>
      </c>
      <c r="G404" s="5342" t="s">
        <v>3124</v>
      </c>
      <c r="H404" s="5342" t="s">
        <v>24</v>
      </c>
      <c r="I404" s="5342" t="s">
        <v>1623</v>
      </c>
    </row>
    <row customHeight="1" ht="11.25">
      <c r="A405" s="5342" t="s">
        <v>2182</v>
      </c>
      <c r="B405" s="5342" t="s">
        <v>14</v>
      </c>
      <c r="C405" s="5342" t="s">
        <v>3125</v>
      </c>
      <c r="D405" s="5342" t="s">
        <v>3126</v>
      </c>
      <c r="E405" s="5342" t="s">
        <v>3127</v>
      </c>
      <c r="F405" s="5342" t="s">
        <v>3073</v>
      </c>
      <c r="G405" s="5342" t="s">
        <v>24</v>
      </c>
      <c r="H405" s="5342" t="s">
        <v>24</v>
      </c>
      <c r="I405" s="5342" t="s">
        <v>1623</v>
      </c>
    </row>
    <row customHeight="1" ht="11.25">
      <c r="A406" s="5342" t="s">
        <v>2182</v>
      </c>
      <c r="B406" s="5342" t="s">
        <v>14</v>
      </c>
      <c r="C406" s="5342" t="s">
        <v>3128</v>
      </c>
      <c r="D406" s="5342" t="s">
        <v>3129</v>
      </c>
      <c r="E406" s="5342" t="s">
        <v>3130</v>
      </c>
      <c r="F406" s="5342" t="s">
        <v>3065</v>
      </c>
      <c r="G406" s="5342" t="s">
        <v>24</v>
      </c>
      <c r="H406" s="5342" t="s">
        <v>24</v>
      </c>
      <c r="I406" s="5342" t="s">
        <v>1623</v>
      </c>
    </row>
    <row customHeight="1" ht="11.25">
      <c r="A407" s="5342" t="s">
        <v>2182</v>
      </c>
      <c r="B407" s="5342" t="s">
        <v>14</v>
      </c>
      <c r="C407" s="5342" t="s">
        <v>3131</v>
      </c>
      <c r="D407" s="5342" t="s">
        <v>3132</v>
      </c>
      <c r="E407" s="5342" t="s">
        <v>3133</v>
      </c>
      <c r="F407" s="5342" t="s">
        <v>2253</v>
      </c>
      <c r="G407" s="5342" t="s">
        <v>24</v>
      </c>
      <c r="H407" s="5342" t="s">
        <v>24</v>
      </c>
      <c r="I407" s="5342" t="s">
        <v>1623</v>
      </c>
    </row>
    <row customHeight="1" ht="11.25">
      <c r="A408" s="5342" t="s">
        <v>2182</v>
      </c>
      <c r="B408" s="5342" t="s">
        <v>14</v>
      </c>
      <c r="C408" s="5342" t="s">
        <v>3134</v>
      </c>
      <c r="D408" s="5342" t="s">
        <v>3135</v>
      </c>
      <c r="E408" s="5342" t="s">
        <v>3136</v>
      </c>
      <c r="F408" s="5342" t="s">
        <v>2430</v>
      </c>
      <c r="G408" s="5342" t="s">
        <v>24</v>
      </c>
      <c r="H408" s="5342" t="s">
        <v>24</v>
      </c>
      <c r="I408" s="5342" t="s">
        <v>1623</v>
      </c>
    </row>
    <row customHeight="1" ht="11.25">
      <c r="A409" s="5342" t="s">
        <v>2182</v>
      </c>
      <c r="B409" s="5342" t="s">
        <v>14</v>
      </c>
      <c r="C409" s="5342" t="s">
        <v>3137</v>
      </c>
      <c r="D409" s="5342" t="s">
        <v>3138</v>
      </c>
      <c r="E409" s="5342" t="s">
        <v>3139</v>
      </c>
      <c r="F409" s="5342" t="s">
        <v>2667</v>
      </c>
      <c r="G409" s="5342" t="s">
        <v>24</v>
      </c>
      <c r="H409" s="5342" t="s">
        <v>24</v>
      </c>
      <c r="I409" s="5342" t="s">
        <v>1623</v>
      </c>
    </row>
    <row customHeight="1" ht="11.25">
      <c r="A410" s="5342" t="s">
        <v>2182</v>
      </c>
      <c r="B410" s="5342" t="s">
        <v>14</v>
      </c>
      <c r="C410" s="5342" t="s">
        <v>3140</v>
      </c>
      <c r="D410" s="5342" t="s">
        <v>3141</v>
      </c>
      <c r="E410" s="5342" t="s">
        <v>3142</v>
      </c>
      <c r="F410" s="5342" t="s">
        <v>2249</v>
      </c>
      <c r="G410" s="5342" t="s">
        <v>3143</v>
      </c>
      <c r="H410" s="5342" t="s">
        <v>24</v>
      </c>
      <c r="I410" s="5342" t="s">
        <v>1623</v>
      </c>
    </row>
    <row customHeight="1" ht="11.25">
      <c r="A411" s="5342" t="s">
        <v>2182</v>
      </c>
      <c r="B411" s="5342" t="s">
        <v>14</v>
      </c>
      <c r="C411" s="5342" t="s">
        <v>3144</v>
      </c>
      <c r="D411" s="5342" t="s">
        <v>3145</v>
      </c>
      <c r="E411" s="5342" t="s">
        <v>3146</v>
      </c>
      <c r="F411" s="5342" t="s">
        <v>2848</v>
      </c>
      <c r="G411" s="5342" t="s">
        <v>24</v>
      </c>
      <c r="H411" s="5342" t="s">
        <v>24</v>
      </c>
      <c r="I411" s="5342" t="s">
        <v>1623</v>
      </c>
    </row>
    <row customHeight="1" ht="11.25">
      <c r="A412" s="5342" t="s">
        <v>2182</v>
      </c>
      <c r="B412" s="5342" t="s">
        <v>14</v>
      </c>
      <c r="C412" s="5342" t="s">
        <v>3147</v>
      </c>
      <c r="D412" s="5342" t="s">
        <v>3145</v>
      </c>
      <c r="E412" s="5342" t="s">
        <v>3148</v>
      </c>
      <c r="F412" s="5342" t="s">
        <v>2301</v>
      </c>
      <c r="G412" s="5342" t="s">
        <v>3149</v>
      </c>
      <c r="H412" s="5342" t="s">
        <v>24</v>
      </c>
      <c r="I412" s="5342" t="s">
        <v>1623</v>
      </c>
    </row>
    <row customHeight="1" ht="11.25">
      <c r="A413" s="5342" t="s">
        <v>2182</v>
      </c>
      <c r="B413" s="5342" t="s">
        <v>14</v>
      </c>
      <c r="C413" s="5342" t="s">
        <v>2677</v>
      </c>
      <c r="D413" s="5342" t="s">
        <v>2678</v>
      </c>
      <c r="E413" s="5342" t="s">
        <v>2679</v>
      </c>
      <c r="F413" s="5342" t="s">
        <v>2680</v>
      </c>
      <c r="G413" s="5342" t="s">
        <v>24</v>
      </c>
      <c r="H413" s="5342" t="s">
        <v>24</v>
      </c>
      <c r="I413" s="5342" t="s">
        <v>1623</v>
      </c>
    </row>
    <row customHeight="1" ht="11.25">
      <c r="A414" s="5342" t="s">
        <v>2182</v>
      </c>
      <c r="B414" s="5342" t="s">
        <v>14</v>
      </c>
      <c r="C414" s="5342" t="s">
        <v>3150</v>
      </c>
      <c r="D414" s="5342" t="s">
        <v>3151</v>
      </c>
      <c r="E414" s="5342" t="s">
        <v>3152</v>
      </c>
      <c r="F414" s="5342" t="s">
        <v>2301</v>
      </c>
      <c r="G414" s="5342" t="s">
        <v>24</v>
      </c>
      <c r="H414" s="5342" t="s">
        <v>24</v>
      </c>
      <c r="I414" s="5342" t="s">
        <v>1623</v>
      </c>
    </row>
    <row customHeight="1" ht="11.25">
      <c r="A415" s="5342" t="s">
        <v>2182</v>
      </c>
      <c r="B415" s="5342" t="s">
        <v>14</v>
      </c>
      <c r="C415" s="5342" t="s">
        <v>3153</v>
      </c>
      <c r="D415" s="5342" t="s">
        <v>3154</v>
      </c>
      <c r="E415" s="5342" t="s">
        <v>3155</v>
      </c>
      <c r="F415" s="5342" t="s">
        <v>2271</v>
      </c>
      <c r="G415" s="5342" t="s">
        <v>3156</v>
      </c>
      <c r="H415" s="5342" t="s">
        <v>24</v>
      </c>
      <c r="I415" s="5342" t="s">
        <v>1623</v>
      </c>
    </row>
    <row customHeight="1" ht="11.25">
      <c r="A416" s="5342" t="s">
        <v>2182</v>
      </c>
      <c r="B416" s="5342" t="s">
        <v>14</v>
      </c>
      <c r="C416" s="5342" t="s">
        <v>3157</v>
      </c>
      <c r="D416" s="5342" t="s">
        <v>3158</v>
      </c>
      <c r="E416" s="5342" t="s">
        <v>3159</v>
      </c>
      <c r="F416" s="5342" t="s">
        <v>2271</v>
      </c>
      <c r="G416" s="5342" t="s">
        <v>24</v>
      </c>
      <c r="H416" s="5342" t="s">
        <v>24</v>
      </c>
      <c r="I416" s="5342" t="s">
        <v>1623</v>
      </c>
    </row>
    <row customHeight="1" ht="11.25">
      <c r="A417" s="5342" t="s">
        <v>2182</v>
      </c>
      <c r="B417" s="5342" t="s">
        <v>14</v>
      </c>
      <c r="C417" s="5342" t="s">
        <v>3160</v>
      </c>
      <c r="D417" s="5342" t="s">
        <v>3161</v>
      </c>
      <c r="E417" s="5342" t="s">
        <v>3162</v>
      </c>
      <c r="F417" s="5342" t="s">
        <v>2253</v>
      </c>
      <c r="G417" s="5342" t="s">
        <v>24</v>
      </c>
      <c r="H417" s="5342" t="s">
        <v>24</v>
      </c>
      <c r="I417" s="5342" t="s">
        <v>1623</v>
      </c>
    </row>
    <row customHeight="1" ht="11.25">
      <c r="A418" s="5342" t="s">
        <v>2182</v>
      </c>
      <c r="B418" s="5342" t="s">
        <v>14</v>
      </c>
      <c r="C418" s="5342" t="s">
        <v>3163</v>
      </c>
      <c r="D418" s="5342" t="s">
        <v>3164</v>
      </c>
      <c r="E418" s="5342" t="s">
        <v>3165</v>
      </c>
      <c r="F418" s="5342" t="s">
        <v>3123</v>
      </c>
      <c r="G418" s="5342" t="s">
        <v>24</v>
      </c>
      <c r="H418" s="5342" t="s">
        <v>24</v>
      </c>
      <c r="I418" s="5342" t="s">
        <v>1623</v>
      </c>
    </row>
    <row customHeight="1" ht="11.25">
      <c r="A419" s="5342" t="s">
        <v>2182</v>
      </c>
      <c r="B419" s="5342" t="s">
        <v>14</v>
      </c>
      <c r="C419" s="5342" t="s">
        <v>3166</v>
      </c>
      <c r="D419" s="5342" t="s">
        <v>3167</v>
      </c>
      <c r="E419" s="5342" t="s">
        <v>3168</v>
      </c>
      <c r="F419" s="5342" t="s">
        <v>2442</v>
      </c>
      <c r="G419" s="5342" t="s">
        <v>24</v>
      </c>
      <c r="H419" s="5342" t="s">
        <v>24</v>
      </c>
      <c r="I419" s="5342" t="s">
        <v>1623</v>
      </c>
    </row>
    <row customHeight="1" ht="11.25">
      <c r="A420" s="5342" t="s">
        <v>2182</v>
      </c>
      <c r="B420" s="5342" t="s">
        <v>14</v>
      </c>
      <c r="C420" s="5342" t="s">
        <v>3169</v>
      </c>
      <c r="D420" s="5342" t="s">
        <v>3170</v>
      </c>
      <c r="E420" s="5342" t="s">
        <v>3171</v>
      </c>
      <c r="F420" s="5342" t="s">
        <v>2642</v>
      </c>
      <c r="G420" s="5342" t="s">
        <v>3172</v>
      </c>
      <c r="H420" s="5342" t="s">
        <v>24</v>
      </c>
      <c r="I420" s="5342" t="s">
        <v>1623</v>
      </c>
    </row>
    <row customHeight="1" ht="11.25">
      <c r="A421" s="5342" t="s">
        <v>2182</v>
      </c>
      <c r="B421" s="5342" t="s">
        <v>14</v>
      </c>
      <c r="C421" s="5342" t="s">
        <v>3173</v>
      </c>
      <c r="D421" s="5342" t="s">
        <v>3174</v>
      </c>
      <c r="E421" s="5342" t="s">
        <v>3175</v>
      </c>
      <c r="F421" s="5342" t="s">
        <v>2754</v>
      </c>
      <c r="G421" s="5342" t="s">
        <v>24</v>
      </c>
      <c r="H421" s="5342" t="s">
        <v>24</v>
      </c>
      <c r="I421" s="5342" t="s">
        <v>1623</v>
      </c>
    </row>
    <row customHeight="1" ht="11.25">
      <c r="A422" s="5342" t="s">
        <v>2182</v>
      </c>
      <c r="B422" s="5342" t="s">
        <v>14</v>
      </c>
      <c r="C422" s="5342" t="s">
        <v>3176</v>
      </c>
      <c r="D422" s="5342" t="s">
        <v>3177</v>
      </c>
      <c r="E422" s="5342" t="s">
        <v>3178</v>
      </c>
      <c r="F422" s="5342" t="s">
        <v>2373</v>
      </c>
      <c r="G422" s="5342" t="s">
        <v>24</v>
      </c>
      <c r="H422" s="5342" t="s">
        <v>24</v>
      </c>
      <c r="I422" s="5342" t="s">
        <v>1623</v>
      </c>
    </row>
    <row customHeight="1" ht="11.25">
      <c r="A423" s="5342" t="s">
        <v>2182</v>
      </c>
      <c r="B423" s="5342" t="s">
        <v>14</v>
      </c>
      <c r="C423" s="5342" t="s">
        <v>3179</v>
      </c>
      <c r="D423" s="5342" t="s">
        <v>3180</v>
      </c>
      <c r="E423" s="5342" t="s">
        <v>3181</v>
      </c>
      <c r="F423" s="5342" t="s">
        <v>2305</v>
      </c>
      <c r="G423" s="5342" t="s">
        <v>24</v>
      </c>
      <c r="H423" s="5342" t="s">
        <v>24</v>
      </c>
      <c r="I423" s="5342" t="s">
        <v>1623</v>
      </c>
    </row>
    <row customHeight="1" ht="11.25">
      <c r="A424" s="5342" t="s">
        <v>2182</v>
      </c>
      <c r="B424" s="5342" t="s">
        <v>14</v>
      </c>
      <c r="C424" s="5342" t="s">
        <v>3182</v>
      </c>
      <c r="D424" s="5342" t="s">
        <v>3183</v>
      </c>
      <c r="E424" s="5342" t="s">
        <v>3184</v>
      </c>
      <c r="F424" s="5342" t="s">
        <v>2450</v>
      </c>
      <c r="G424" s="5342" t="s">
        <v>24</v>
      </c>
      <c r="H424" s="5342" t="s">
        <v>24</v>
      </c>
      <c r="I424" s="5342" t="s">
        <v>1623</v>
      </c>
    </row>
    <row customHeight="1" ht="11.25">
      <c r="A425" s="5342" t="s">
        <v>2182</v>
      </c>
      <c r="B425" s="5342" t="s">
        <v>14</v>
      </c>
      <c r="C425" s="5342" t="s">
        <v>3185</v>
      </c>
      <c r="D425" s="5342" t="s">
        <v>3186</v>
      </c>
      <c r="E425" s="5342" t="s">
        <v>3187</v>
      </c>
      <c r="F425" s="5342" t="s">
        <v>2223</v>
      </c>
      <c r="G425" s="5342" t="s">
        <v>24</v>
      </c>
      <c r="H425" s="5342" t="s">
        <v>24</v>
      </c>
      <c r="I425" s="5342" t="s">
        <v>1623</v>
      </c>
    </row>
    <row customHeight="1" ht="11.25">
      <c r="A426" s="5342" t="s">
        <v>2182</v>
      </c>
      <c r="B426" s="5342" t="s">
        <v>14</v>
      </c>
      <c r="C426" s="5342" t="s">
        <v>3188</v>
      </c>
      <c r="D426" s="5342" t="s">
        <v>3189</v>
      </c>
      <c r="E426" s="5342" t="s">
        <v>3190</v>
      </c>
      <c r="F426" s="5342" t="s">
        <v>2223</v>
      </c>
      <c r="G426" s="5342" t="s">
        <v>24</v>
      </c>
      <c r="H426" s="5342" t="s">
        <v>24</v>
      </c>
      <c r="I426" s="5342" t="s">
        <v>1623</v>
      </c>
    </row>
    <row customHeight="1" ht="11.25">
      <c r="A427" s="5342" t="s">
        <v>2182</v>
      </c>
      <c r="B427" s="5342" t="s">
        <v>14</v>
      </c>
      <c r="C427" s="5342" t="s">
        <v>3191</v>
      </c>
      <c r="D427" s="5342" t="s">
        <v>3192</v>
      </c>
      <c r="E427" s="5342" t="s">
        <v>3193</v>
      </c>
      <c r="F427" s="5342" t="s">
        <v>2423</v>
      </c>
      <c r="G427" s="5342" t="s">
        <v>24</v>
      </c>
      <c r="H427" s="5342" t="s">
        <v>24</v>
      </c>
      <c r="I427" s="5342" t="s">
        <v>1623</v>
      </c>
    </row>
    <row customHeight="1" ht="11.25">
      <c r="A428" s="5342" t="s">
        <v>2182</v>
      </c>
      <c r="B428" s="5342" t="s">
        <v>14</v>
      </c>
      <c r="C428" s="5342" t="s">
        <v>3194</v>
      </c>
      <c r="D428" s="5342" t="s">
        <v>3195</v>
      </c>
      <c r="E428" s="5342" t="s">
        <v>3196</v>
      </c>
      <c r="F428" s="5342" t="s">
        <v>2309</v>
      </c>
      <c r="G428" s="5342" t="s">
        <v>24</v>
      </c>
      <c r="H428" s="5342" t="s">
        <v>24</v>
      </c>
      <c r="I428" s="5342" t="s">
        <v>1623</v>
      </c>
    </row>
    <row customHeight="1" ht="11.25">
      <c r="A429" s="5342" t="s">
        <v>2182</v>
      </c>
      <c r="B429" s="5342" t="s">
        <v>14</v>
      </c>
      <c r="C429" s="5342" t="s">
        <v>24</v>
      </c>
      <c r="D429" s="5342" t="s">
        <v>2708</v>
      </c>
      <c r="E429" s="5342" t="s">
        <v>2709</v>
      </c>
      <c r="F429" s="5342" t="s">
        <v>2442</v>
      </c>
      <c r="G429" s="5342" t="s">
        <v>24</v>
      </c>
      <c r="H429" s="5342" t="s">
        <v>24</v>
      </c>
      <c r="I429" s="5342" t="s">
        <v>1623</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8D77D3-FA72-A888-ACEA-E22A08ECC8A8}" mc:Ignorable="x14ac xr xr2 xr3">
  <sheetPr>
    <tabColor rgb="FFFFCC99"/>
  </sheetPr>
  <dimension ref="A1:G464"/>
  <sheetViews>
    <sheetView topLeftCell="A1" showGridLines="0" workbookViewId="0">
      <selection activeCell="A1" sqref="A1"/>
    </sheetView>
  </sheetViews>
  <sheetFormatPr customHeight="1" defaultRowHeight="11.25"/>
  <cols>
    <col min="1" max="1" style="4752" width="9.140625"/>
  </cols>
  <sheetData>
    <row customHeight="1" ht="11.25">
      <c r="A1" s="373" t="s">
        <v>3197</v>
      </c>
      <c r="B1" s="48" t="s">
        <v>3198</v>
      </c>
      <c r="C1" s="48" t="s">
        <v>3199</v>
      </c>
      <c r="D1" s="48" t="s">
        <v>3200</v>
      </c>
      <c r="E1" s="0" t="s">
        <v>3201</v>
      </c>
      <c r="F1" s="0" t="s">
        <v>3202</v>
      </c>
      <c r="G1" s="0" t="s">
        <v>3203</v>
      </c>
    </row>
    <row customHeight="1" ht="11.25">
      <c r="A2" s="373" t="s">
        <v>14</v>
      </c>
      <c r="B2" s="0" t="s">
        <v>3204</v>
      </c>
      <c r="C2" s="0" t="s">
        <v>3205</v>
      </c>
      <c r="D2" s="0" t="s">
        <v>3204</v>
      </c>
      <c r="E2" s="0" t="s">
        <v>3205</v>
      </c>
      <c r="F2" s="0" t="s">
        <v>3206</v>
      </c>
      <c r="G2" s="0" t="s">
        <v>108</v>
      </c>
    </row>
    <row customHeight="1" ht="11.25">
      <c r="A3" s="373" t="s">
        <v>14</v>
      </c>
      <c r="B3" s="0" t="s">
        <v>3204</v>
      </c>
      <c r="C3" s="0" t="s">
        <v>3205</v>
      </c>
      <c r="D3" s="0" t="s">
        <v>3207</v>
      </c>
      <c r="E3" s="0" t="s">
        <v>3208</v>
      </c>
      <c r="F3" s="0" t="s">
        <v>3209</v>
      </c>
      <c r="G3" s="0" t="s">
        <v>109</v>
      </c>
    </row>
    <row customHeight="1" ht="11.25">
      <c r="A4" s="373" t="s">
        <v>14</v>
      </c>
      <c r="B4" s="0" t="s">
        <v>3204</v>
      </c>
      <c r="C4" s="0" t="s">
        <v>3205</v>
      </c>
      <c r="D4" s="0" t="s">
        <v>3210</v>
      </c>
      <c r="E4" s="0" t="s">
        <v>3211</v>
      </c>
      <c r="F4" s="0" t="s">
        <v>3209</v>
      </c>
      <c r="G4" s="0" t="s">
        <v>89</v>
      </c>
    </row>
    <row customHeight="1" ht="11.25">
      <c r="A5" s="373" t="s">
        <v>14</v>
      </c>
      <c r="B5" s="0" t="s">
        <v>3204</v>
      </c>
      <c r="C5" s="0" t="s">
        <v>3205</v>
      </c>
      <c r="D5" s="0" t="s">
        <v>3212</v>
      </c>
      <c r="E5" s="0" t="s">
        <v>3213</v>
      </c>
      <c r="F5" s="0" t="s">
        <v>3209</v>
      </c>
      <c r="G5" s="0" t="s">
        <v>90</v>
      </c>
    </row>
    <row customHeight="1" ht="11.25">
      <c r="A6" s="373" t="s">
        <v>14</v>
      </c>
      <c r="B6" s="0" t="s">
        <v>3204</v>
      </c>
      <c r="C6" s="0" t="s">
        <v>3205</v>
      </c>
      <c r="D6" s="0" t="s">
        <v>3214</v>
      </c>
      <c r="E6" s="0" t="s">
        <v>3215</v>
      </c>
      <c r="F6" s="0" t="s">
        <v>3209</v>
      </c>
      <c r="G6" s="0" t="s">
        <v>110</v>
      </c>
    </row>
    <row customHeight="1" ht="11.25">
      <c r="A7" s="373" t="s">
        <v>14</v>
      </c>
      <c r="B7" s="0" t="s">
        <v>3204</v>
      </c>
      <c r="C7" s="0" t="s">
        <v>3205</v>
      </c>
      <c r="D7" s="0" t="s">
        <v>3216</v>
      </c>
      <c r="E7" s="0" t="s">
        <v>3217</v>
      </c>
      <c r="F7" s="0" t="s">
        <v>3209</v>
      </c>
      <c r="G7" s="0" t="s">
        <v>91</v>
      </c>
    </row>
    <row customHeight="1" ht="11.25">
      <c r="A8" s="373" t="s">
        <v>14</v>
      </c>
      <c r="B8" s="0" t="s">
        <v>3204</v>
      </c>
      <c r="C8" s="0" t="s">
        <v>3205</v>
      </c>
      <c r="D8" s="0" t="s">
        <v>3218</v>
      </c>
      <c r="E8" s="0" t="s">
        <v>3219</v>
      </c>
      <c r="F8" s="0" t="s">
        <v>3209</v>
      </c>
      <c r="G8" s="0" t="s">
        <v>92</v>
      </c>
    </row>
    <row customHeight="1" ht="11.25">
      <c r="A9" s="373" t="s">
        <v>14</v>
      </c>
      <c r="B9" s="0" t="s">
        <v>3204</v>
      </c>
      <c r="C9" s="0" t="s">
        <v>3205</v>
      </c>
      <c r="D9" s="0" t="s">
        <v>3220</v>
      </c>
      <c r="E9" s="0" t="s">
        <v>3221</v>
      </c>
      <c r="F9" s="0" t="s">
        <v>3209</v>
      </c>
      <c r="G9" s="0" t="s">
        <v>111</v>
      </c>
    </row>
    <row customHeight="1" ht="11.25">
      <c r="A10" s="373" t="s">
        <v>14</v>
      </c>
      <c r="B10" s="0" t="s">
        <v>3204</v>
      </c>
      <c r="C10" s="0" t="s">
        <v>3205</v>
      </c>
      <c r="D10" s="0" t="s">
        <v>3222</v>
      </c>
      <c r="E10" s="0" t="s">
        <v>3223</v>
      </c>
      <c r="F10" s="0" t="s">
        <v>3209</v>
      </c>
      <c r="G10" s="0" t="s">
        <v>147</v>
      </c>
    </row>
    <row customHeight="1" ht="11.25">
      <c r="A11" s="373" t="s">
        <v>14</v>
      </c>
      <c r="B11" s="0" t="s">
        <v>3204</v>
      </c>
      <c r="C11" s="0" t="s">
        <v>3205</v>
      </c>
      <c r="D11" s="0" t="s">
        <v>3224</v>
      </c>
      <c r="E11" s="0" t="s">
        <v>3225</v>
      </c>
      <c r="F11" s="0" t="s">
        <v>3209</v>
      </c>
      <c r="G11" s="0" t="s">
        <v>148</v>
      </c>
    </row>
    <row customHeight="1" ht="11.25">
      <c r="A12" s="373" t="s">
        <v>14</v>
      </c>
      <c r="B12" s="0" t="s">
        <v>3204</v>
      </c>
      <c r="C12" s="0" t="s">
        <v>3205</v>
      </c>
      <c r="D12" s="0" t="s">
        <v>3226</v>
      </c>
      <c r="E12" s="0" t="s">
        <v>3227</v>
      </c>
      <c r="F12" s="0" t="s">
        <v>3209</v>
      </c>
      <c r="G12" s="0" t="s">
        <v>149</v>
      </c>
    </row>
    <row customHeight="1" ht="11.25">
      <c r="A13" s="373" t="s">
        <v>14</v>
      </c>
      <c r="B13" s="0" t="s">
        <v>3204</v>
      </c>
      <c r="C13" s="0" t="s">
        <v>3205</v>
      </c>
      <c r="D13" s="0" t="s">
        <v>3228</v>
      </c>
      <c r="E13" s="0" t="s">
        <v>3229</v>
      </c>
      <c r="F13" s="0" t="s">
        <v>3209</v>
      </c>
      <c r="G13" s="0" t="s">
        <v>150</v>
      </c>
    </row>
    <row customHeight="1" ht="11.25">
      <c r="A14" s="373" t="s">
        <v>14</v>
      </c>
      <c r="B14" s="0" t="s">
        <v>3204</v>
      </c>
      <c r="C14" s="0" t="s">
        <v>3205</v>
      </c>
      <c r="D14" s="0" t="s">
        <v>3230</v>
      </c>
      <c r="E14" s="0" t="s">
        <v>3231</v>
      </c>
      <c r="F14" s="0" t="s">
        <v>3209</v>
      </c>
      <c r="G14" s="0" t="s">
        <v>151</v>
      </c>
    </row>
    <row customHeight="1" ht="11.25">
      <c r="A15" s="373" t="s">
        <v>14</v>
      </c>
      <c r="B15" s="0" t="s">
        <v>3204</v>
      </c>
      <c r="C15" s="0" t="s">
        <v>3205</v>
      </c>
      <c r="D15" s="0" t="s">
        <v>3232</v>
      </c>
      <c r="E15" s="0" t="s">
        <v>3233</v>
      </c>
      <c r="F15" s="0" t="s">
        <v>3209</v>
      </c>
      <c r="G15" s="0" t="s">
        <v>152</v>
      </c>
    </row>
    <row customHeight="1" ht="11.25">
      <c r="A16" s="373" t="s">
        <v>14</v>
      </c>
      <c r="B16" s="0" t="s">
        <v>3204</v>
      </c>
      <c r="C16" s="0" t="s">
        <v>3205</v>
      </c>
      <c r="D16" s="0" t="s">
        <v>3234</v>
      </c>
      <c r="E16" s="0" t="s">
        <v>3235</v>
      </c>
      <c r="F16" s="0" t="s">
        <v>3209</v>
      </c>
      <c r="G16" s="0" t="s">
        <v>1468</v>
      </c>
    </row>
    <row customHeight="1" ht="11.25">
      <c r="A17" s="373" t="s">
        <v>14</v>
      </c>
      <c r="B17" s="0" t="s">
        <v>3204</v>
      </c>
      <c r="C17" s="0" t="s">
        <v>3205</v>
      </c>
      <c r="D17" s="0" t="s">
        <v>3236</v>
      </c>
      <c r="E17" s="0" t="s">
        <v>3237</v>
      </c>
      <c r="F17" s="0" t="s">
        <v>3209</v>
      </c>
      <c r="G17" s="0" t="s">
        <v>1474</v>
      </c>
    </row>
    <row customHeight="1" ht="11.25">
      <c r="A18" s="373" t="s">
        <v>14</v>
      </c>
      <c r="B18" s="0" t="s">
        <v>3204</v>
      </c>
      <c r="C18" s="0" t="s">
        <v>3205</v>
      </c>
      <c r="D18" s="0" t="s">
        <v>3238</v>
      </c>
      <c r="E18" s="0" t="s">
        <v>3239</v>
      </c>
      <c r="F18" s="0" t="s">
        <v>3209</v>
      </c>
      <c r="G18" s="0" t="s">
        <v>1485</v>
      </c>
    </row>
    <row customHeight="1" ht="11.25">
      <c r="A19" s="373" t="s">
        <v>14</v>
      </c>
      <c r="B19" s="0" t="s">
        <v>3204</v>
      </c>
      <c r="C19" s="0" t="s">
        <v>3205</v>
      </c>
      <c r="D19" s="0" t="s">
        <v>3240</v>
      </c>
      <c r="E19" s="0" t="s">
        <v>3241</v>
      </c>
      <c r="F19" s="0" t="s">
        <v>3209</v>
      </c>
      <c r="G19" s="0" t="s">
        <v>1499</v>
      </c>
    </row>
    <row customHeight="1" ht="11.25">
      <c r="A20" s="373" t="s">
        <v>14</v>
      </c>
      <c r="B20" s="0" t="s">
        <v>3204</v>
      </c>
      <c r="C20" s="0" t="s">
        <v>3205</v>
      </c>
      <c r="D20" s="0" t="s">
        <v>3242</v>
      </c>
      <c r="E20" s="0" t="s">
        <v>3243</v>
      </c>
      <c r="F20" s="0" t="s">
        <v>3209</v>
      </c>
      <c r="G20" s="0" t="s">
        <v>1511</v>
      </c>
    </row>
    <row customHeight="1" ht="11.25">
      <c r="A21" s="373" t="s">
        <v>14</v>
      </c>
      <c r="B21" s="0" t="s">
        <v>3244</v>
      </c>
      <c r="C21" s="0" t="s">
        <v>3245</v>
      </c>
      <c r="D21" s="0" t="s">
        <v>3244</v>
      </c>
      <c r="E21" s="0" t="s">
        <v>3245</v>
      </c>
      <c r="F21" s="0" t="s">
        <v>3206</v>
      </c>
      <c r="G21" s="0" t="s">
        <v>1520</v>
      </c>
    </row>
    <row customHeight="1" ht="11.25">
      <c r="A22" s="373" t="s">
        <v>14</v>
      </c>
      <c r="B22" s="0" t="s">
        <v>3244</v>
      </c>
      <c r="C22" s="0" t="s">
        <v>3245</v>
      </c>
      <c r="D22" s="0" t="s">
        <v>3246</v>
      </c>
      <c r="E22" s="0" t="s">
        <v>3247</v>
      </c>
      <c r="F22" s="0" t="s">
        <v>3248</v>
      </c>
      <c r="G22" s="0" t="s">
        <v>1536</v>
      </c>
    </row>
    <row customHeight="1" ht="11.25">
      <c r="A23" s="373" t="s">
        <v>14</v>
      </c>
      <c r="B23" s="0" t="s">
        <v>3244</v>
      </c>
      <c r="C23" s="0" t="s">
        <v>3245</v>
      </c>
      <c r="D23" s="0" t="s">
        <v>3249</v>
      </c>
      <c r="E23" s="0" t="s">
        <v>3250</v>
      </c>
      <c r="F23" s="0" t="s">
        <v>3209</v>
      </c>
      <c r="G23" s="0" t="s">
        <v>1543</v>
      </c>
    </row>
    <row customHeight="1" ht="11.25">
      <c r="A24" s="373" t="s">
        <v>14</v>
      </c>
      <c r="B24" s="0" t="s">
        <v>3244</v>
      </c>
      <c r="C24" s="0" t="s">
        <v>3245</v>
      </c>
      <c r="D24" s="0" t="s">
        <v>3251</v>
      </c>
      <c r="E24" s="0" t="s">
        <v>3252</v>
      </c>
      <c r="F24" s="0" t="s">
        <v>3209</v>
      </c>
      <c r="G24" s="0" t="s">
        <v>1551</v>
      </c>
    </row>
    <row customHeight="1" ht="11.25">
      <c r="A25" s="373" t="s">
        <v>14</v>
      </c>
      <c r="B25" s="0" t="s">
        <v>3244</v>
      </c>
      <c r="C25" s="0" t="s">
        <v>3245</v>
      </c>
      <c r="D25" s="0" t="s">
        <v>3253</v>
      </c>
      <c r="E25" s="0" t="s">
        <v>3254</v>
      </c>
      <c r="F25" s="0" t="s">
        <v>3209</v>
      </c>
      <c r="G25" s="0" t="s">
        <v>1558</v>
      </c>
    </row>
    <row customHeight="1" ht="11.25">
      <c r="A26" s="373" t="s">
        <v>14</v>
      </c>
      <c r="B26" s="0" t="s">
        <v>3244</v>
      </c>
      <c r="C26" s="0" t="s">
        <v>3245</v>
      </c>
      <c r="D26" s="0" t="s">
        <v>3255</v>
      </c>
      <c r="E26" s="0" t="s">
        <v>3256</v>
      </c>
      <c r="F26" s="0" t="s">
        <v>3209</v>
      </c>
      <c r="G26" s="0" t="s">
        <v>1562</v>
      </c>
    </row>
    <row customHeight="1" ht="11.25">
      <c r="A27" s="373" t="s">
        <v>14</v>
      </c>
      <c r="B27" s="0" t="s">
        <v>3244</v>
      </c>
      <c r="C27" s="0" t="s">
        <v>3245</v>
      </c>
      <c r="D27" s="0" t="s">
        <v>3257</v>
      </c>
      <c r="E27" s="0" t="s">
        <v>3258</v>
      </c>
      <c r="F27" s="0" t="s">
        <v>3209</v>
      </c>
      <c r="G27" s="0" t="s">
        <v>1567</v>
      </c>
    </row>
    <row customHeight="1" ht="11.25">
      <c r="A28" s="373" t="s">
        <v>14</v>
      </c>
      <c r="B28" s="0" t="s">
        <v>3244</v>
      </c>
      <c r="C28" s="0" t="s">
        <v>3245</v>
      </c>
      <c r="D28" s="0" t="s">
        <v>3259</v>
      </c>
      <c r="E28" s="0" t="s">
        <v>3260</v>
      </c>
      <c r="F28" s="0" t="s">
        <v>3209</v>
      </c>
      <c r="G28" s="0" t="s">
        <v>1575</v>
      </c>
    </row>
    <row customHeight="1" ht="11.25">
      <c r="A29" s="373" t="s">
        <v>14</v>
      </c>
      <c r="B29" s="0" t="s">
        <v>3244</v>
      </c>
      <c r="C29" s="0" t="s">
        <v>3245</v>
      </c>
      <c r="D29" s="0" t="s">
        <v>3261</v>
      </c>
      <c r="E29" s="0" t="s">
        <v>3262</v>
      </c>
      <c r="F29" s="0" t="s">
        <v>3209</v>
      </c>
      <c r="G29" s="0" t="s">
        <v>1577</v>
      </c>
    </row>
    <row customHeight="1" ht="11.25">
      <c r="A30" s="373" t="s">
        <v>14</v>
      </c>
      <c r="B30" s="0" t="s">
        <v>3244</v>
      </c>
      <c r="C30" s="0" t="s">
        <v>3245</v>
      </c>
      <c r="D30" s="0" t="s">
        <v>3263</v>
      </c>
      <c r="E30" s="0" t="s">
        <v>3264</v>
      </c>
      <c r="F30" s="0" t="s">
        <v>3209</v>
      </c>
      <c r="G30" s="0" t="s">
        <v>1580</v>
      </c>
    </row>
    <row customHeight="1" ht="11.25">
      <c r="A31" s="373" t="s">
        <v>14</v>
      </c>
      <c r="B31" s="0" t="s">
        <v>3244</v>
      </c>
      <c r="C31" s="0" t="s">
        <v>3245</v>
      </c>
      <c r="D31" s="0" t="s">
        <v>3265</v>
      </c>
      <c r="E31" s="0" t="s">
        <v>3266</v>
      </c>
      <c r="F31" s="0" t="s">
        <v>3209</v>
      </c>
      <c r="G31" s="0" t="s">
        <v>1585</v>
      </c>
    </row>
    <row customHeight="1" ht="11.25">
      <c r="A32" s="373" t="s">
        <v>14</v>
      </c>
      <c r="B32" s="0" t="s">
        <v>3244</v>
      </c>
      <c r="C32" s="0" t="s">
        <v>3245</v>
      </c>
      <c r="D32" s="0" t="s">
        <v>3267</v>
      </c>
      <c r="E32" s="0" t="s">
        <v>3268</v>
      </c>
      <c r="F32" s="0" t="s">
        <v>3209</v>
      </c>
      <c r="G32" s="0" t="s">
        <v>1587</v>
      </c>
    </row>
    <row customHeight="1" ht="11.25">
      <c r="A33" s="373" t="s">
        <v>14</v>
      </c>
      <c r="B33" s="0" t="s">
        <v>3269</v>
      </c>
      <c r="C33" s="0" t="s">
        <v>3270</v>
      </c>
      <c r="D33" s="0" t="s">
        <v>3271</v>
      </c>
      <c r="E33" s="0" t="s">
        <v>3272</v>
      </c>
      <c r="F33" s="0" t="s">
        <v>3209</v>
      </c>
      <c r="G33" s="0" t="s">
        <v>1589</v>
      </c>
    </row>
    <row customHeight="1" ht="11.25">
      <c r="A34" s="373" t="s">
        <v>14</v>
      </c>
      <c r="B34" s="0" t="s">
        <v>3269</v>
      </c>
      <c r="C34" s="0" t="s">
        <v>3270</v>
      </c>
      <c r="D34" s="0" t="s">
        <v>3269</v>
      </c>
      <c r="E34" s="0" t="s">
        <v>3270</v>
      </c>
      <c r="F34" s="0" t="s">
        <v>3206</v>
      </c>
      <c r="G34" s="0" t="s">
        <v>1591</v>
      </c>
    </row>
    <row customHeight="1" ht="11.25">
      <c r="A35" s="373" t="s">
        <v>14</v>
      </c>
      <c r="B35" s="0" t="s">
        <v>3269</v>
      </c>
      <c r="C35" s="0" t="s">
        <v>3270</v>
      </c>
      <c r="D35" s="0" t="s">
        <v>3273</v>
      </c>
      <c r="E35" s="0" t="s">
        <v>3274</v>
      </c>
      <c r="F35" s="0" t="s">
        <v>3209</v>
      </c>
      <c r="G35" s="0" t="s">
        <v>1596</v>
      </c>
    </row>
    <row customHeight="1" ht="11.25">
      <c r="A36" s="373" t="s">
        <v>14</v>
      </c>
      <c r="B36" s="0" t="s">
        <v>3269</v>
      </c>
      <c r="C36" s="0" t="s">
        <v>3270</v>
      </c>
      <c r="D36" s="0" t="s">
        <v>3275</v>
      </c>
      <c r="E36" s="0" t="s">
        <v>3276</v>
      </c>
      <c r="F36" s="0" t="s">
        <v>3209</v>
      </c>
      <c r="G36" s="0" t="s">
        <v>1601</v>
      </c>
    </row>
    <row customHeight="1" ht="11.25">
      <c r="A37" s="373" t="s">
        <v>14</v>
      </c>
      <c r="B37" s="0" t="s">
        <v>3269</v>
      </c>
      <c r="C37" s="0" t="s">
        <v>3270</v>
      </c>
      <c r="D37" s="0" t="s">
        <v>3277</v>
      </c>
      <c r="E37" s="0" t="s">
        <v>3278</v>
      </c>
      <c r="F37" s="0" t="s">
        <v>3209</v>
      </c>
      <c r="G37" s="0" t="s">
        <v>1605</v>
      </c>
    </row>
    <row customHeight="1" ht="11.25">
      <c r="A38" s="373" t="s">
        <v>14</v>
      </c>
      <c r="B38" s="0" t="s">
        <v>3269</v>
      </c>
      <c r="C38" s="0" t="s">
        <v>3270</v>
      </c>
      <c r="D38" s="0" t="s">
        <v>3279</v>
      </c>
      <c r="E38" s="0" t="s">
        <v>3280</v>
      </c>
      <c r="F38" s="0" t="s">
        <v>3209</v>
      </c>
      <c r="G38" s="0" t="s">
        <v>1613</v>
      </c>
    </row>
    <row customHeight="1" ht="11.25">
      <c r="A39" s="373" t="s">
        <v>14</v>
      </c>
      <c r="B39" s="0" t="s">
        <v>3281</v>
      </c>
      <c r="C39" s="0" t="s">
        <v>3282</v>
      </c>
      <c r="D39" s="0" t="s">
        <v>3281</v>
      </c>
      <c r="E39" s="0" t="s">
        <v>3282</v>
      </c>
      <c r="F39" s="0" t="s">
        <v>3206</v>
      </c>
      <c r="G39" s="0" t="s">
        <v>1619</v>
      </c>
    </row>
    <row customHeight="1" ht="11.25">
      <c r="A40" s="373" t="s">
        <v>14</v>
      </c>
      <c r="B40" s="0" t="s">
        <v>3281</v>
      </c>
      <c r="C40" s="0" t="s">
        <v>3282</v>
      </c>
      <c r="D40" s="0" t="s">
        <v>3283</v>
      </c>
      <c r="E40" s="0" t="s">
        <v>3284</v>
      </c>
      <c r="F40" s="0" t="s">
        <v>3248</v>
      </c>
      <c r="G40" s="0" t="s">
        <v>1624</v>
      </c>
    </row>
    <row customHeight="1" ht="11.25">
      <c r="A41" s="373" t="s">
        <v>14</v>
      </c>
      <c r="B41" s="0" t="s">
        <v>3281</v>
      </c>
      <c r="C41" s="0" t="s">
        <v>3282</v>
      </c>
      <c r="D41" s="0" t="s">
        <v>3285</v>
      </c>
      <c r="E41" s="0" t="s">
        <v>3286</v>
      </c>
      <c r="F41" s="0" t="s">
        <v>3209</v>
      </c>
      <c r="G41" s="0" t="s">
        <v>1628</v>
      </c>
    </row>
    <row customHeight="1" ht="11.25">
      <c r="A42" s="373" t="s">
        <v>14</v>
      </c>
      <c r="B42" s="0" t="s">
        <v>3281</v>
      </c>
      <c r="C42" s="0" t="s">
        <v>3282</v>
      </c>
      <c r="D42" s="0" t="s">
        <v>3287</v>
      </c>
      <c r="E42" s="0" t="s">
        <v>3288</v>
      </c>
      <c r="F42" s="0" t="s">
        <v>3209</v>
      </c>
      <c r="G42" s="0" t="s">
        <v>1631</v>
      </c>
    </row>
    <row customHeight="1" ht="11.25">
      <c r="A43" s="373" t="s">
        <v>14</v>
      </c>
      <c r="B43" s="0" t="s">
        <v>3281</v>
      </c>
      <c r="C43" s="0" t="s">
        <v>3282</v>
      </c>
      <c r="D43" s="0" t="s">
        <v>3289</v>
      </c>
      <c r="E43" s="0" t="s">
        <v>3290</v>
      </c>
      <c r="F43" s="0" t="s">
        <v>3209</v>
      </c>
      <c r="G43" s="0" t="s">
        <v>1638</v>
      </c>
    </row>
    <row customHeight="1" ht="11.25">
      <c r="A44" s="373" t="s">
        <v>14</v>
      </c>
      <c r="B44" s="0" t="s">
        <v>3281</v>
      </c>
      <c r="C44" s="0" t="s">
        <v>3282</v>
      </c>
      <c r="D44" s="0" t="s">
        <v>3291</v>
      </c>
      <c r="E44" s="0" t="s">
        <v>3292</v>
      </c>
      <c r="F44" s="0" t="s">
        <v>3209</v>
      </c>
      <c r="G44" s="0" t="s">
        <v>1647</v>
      </c>
    </row>
    <row customHeight="1" ht="11.25">
      <c r="A45" s="373" t="s">
        <v>14</v>
      </c>
      <c r="B45" s="0" t="s">
        <v>3281</v>
      </c>
      <c r="C45" s="0" t="s">
        <v>3282</v>
      </c>
      <c r="D45" s="0" t="s">
        <v>3293</v>
      </c>
      <c r="E45" s="0" t="s">
        <v>3294</v>
      </c>
      <c r="F45" s="0" t="s">
        <v>3209</v>
      </c>
      <c r="G45" s="0" t="s">
        <v>1652</v>
      </c>
    </row>
    <row customHeight="1" ht="11.25">
      <c r="A46" s="373" t="s">
        <v>14</v>
      </c>
      <c r="B46" s="0" t="s">
        <v>3281</v>
      </c>
      <c r="C46" s="0" t="s">
        <v>3282</v>
      </c>
      <c r="D46" s="0" t="s">
        <v>3295</v>
      </c>
      <c r="E46" s="0" t="s">
        <v>3296</v>
      </c>
      <c r="F46" s="0" t="s">
        <v>3209</v>
      </c>
      <c r="G46" s="0" t="s">
        <v>1656</v>
      </c>
    </row>
    <row customHeight="1" ht="11.25">
      <c r="A47" s="373" t="s">
        <v>14</v>
      </c>
      <c r="B47" s="0" t="s">
        <v>3281</v>
      </c>
      <c r="C47" s="0" t="s">
        <v>3282</v>
      </c>
      <c r="D47" s="0" t="s">
        <v>3297</v>
      </c>
      <c r="E47" s="0" t="s">
        <v>3298</v>
      </c>
      <c r="F47" s="0" t="s">
        <v>3209</v>
      </c>
      <c r="G47" s="0" t="s">
        <v>1662</v>
      </c>
    </row>
    <row customHeight="1" ht="11.25">
      <c r="A48" s="373" t="s">
        <v>14</v>
      </c>
      <c r="B48" s="0" t="s">
        <v>3281</v>
      </c>
      <c r="C48" s="0" t="s">
        <v>3282</v>
      </c>
      <c r="D48" s="0" t="s">
        <v>3299</v>
      </c>
      <c r="E48" s="0" t="s">
        <v>3300</v>
      </c>
      <c r="F48" s="0" t="s">
        <v>3209</v>
      </c>
      <c r="G48" s="0" t="s">
        <v>1667</v>
      </c>
    </row>
    <row customHeight="1" ht="11.25">
      <c r="A49" s="373" t="s">
        <v>14</v>
      </c>
      <c r="B49" s="0" t="s">
        <v>3281</v>
      </c>
      <c r="C49" s="0" t="s">
        <v>3282</v>
      </c>
      <c r="D49" s="0" t="s">
        <v>3301</v>
      </c>
      <c r="E49" s="0" t="s">
        <v>3302</v>
      </c>
      <c r="F49" s="0" t="s">
        <v>3209</v>
      </c>
      <c r="G49" s="0" t="s">
        <v>1670</v>
      </c>
    </row>
    <row customHeight="1" ht="11.25">
      <c r="A50" s="373" t="s">
        <v>14</v>
      </c>
      <c r="B50" s="0" t="s">
        <v>3281</v>
      </c>
      <c r="C50" s="0" t="s">
        <v>3282</v>
      </c>
      <c r="D50" s="0" t="s">
        <v>3303</v>
      </c>
      <c r="E50" s="0" t="s">
        <v>3304</v>
      </c>
      <c r="F50" s="0" t="s">
        <v>3209</v>
      </c>
      <c r="G50" s="0" t="s">
        <v>1674</v>
      </c>
    </row>
    <row customHeight="1" ht="11.25">
      <c r="A51" s="373" t="s">
        <v>14</v>
      </c>
      <c r="B51" s="0" t="s">
        <v>3281</v>
      </c>
      <c r="C51" s="0" t="s">
        <v>3282</v>
      </c>
      <c r="D51" s="0" t="s">
        <v>3305</v>
      </c>
      <c r="E51" s="0" t="s">
        <v>3306</v>
      </c>
      <c r="F51" s="0" t="s">
        <v>3248</v>
      </c>
      <c r="G51" s="0" t="s">
        <v>1678</v>
      </c>
    </row>
    <row customHeight="1" ht="11.25">
      <c r="A52" s="373" t="s">
        <v>14</v>
      </c>
      <c r="B52" s="0" t="s">
        <v>3307</v>
      </c>
      <c r="C52" s="0" t="s">
        <v>3308</v>
      </c>
      <c r="D52" s="0" t="s">
        <v>3307</v>
      </c>
      <c r="E52" s="0" t="s">
        <v>3308</v>
      </c>
      <c r="F52" s="0" t="s">
        <v>3206</v>
      </c>
      <c r="G52" s="0" t="s">
        <v>1682</v>
      </c>
    </row>
    <row customHeight="1" ht="11.25">
      <c r="A53" s="373" t="s">
        <v>14</v>
      </c>
      <c r="B53" s="0" t="s">
        <v>3307</v>
      </c>
      <c r="C53" s="0" t="s">
        <v>3308</v>
      </c>
      <c r="D53" s="0" t="s">
        <v>3309</v>
      </c>
      <c r="E53" s="0" t="s">
        <v>3310</v>
      </c>
      <c r="F53" s="0" t="s">
        <v>3209</v>
      </c>
      <c r="G53" s="0" t="s">
        <v>1684</v>
      </c>
    </row>
    <row customHeight="1" ht="11.25">
      <c r="A54" s="373" t="s">
        <v>14</v>
      </c>
      <c r="B54" s="0" t="s">
        <v>3307</v>
      </c>
      <c r="C54" s="0" t="s">
        <v>3308</v>
      </c>
      <c r="D54" s="0" t="s">
        <v>3311</v>
      </c>
      <c r="E54" s="0" t="s">
        <v>3312</v>
      </c>
      <c r="F54" s="0" t="s">
        <v>3209</v>
      </c>
      <c r="G54" s="0" t="s">
        <v>1687</v>
      </c>
    </row>
    <row customHeight="1" ht="11.25">
      <c r="A55" s="373" t="s">
        <v>14</v>
      </c>
      <c r="B55" s="0" t="s">
        <v>3307</v>
      </c>
      <c r="C55" s="0" t="s">
        <v>3308</v>
      </c>
      <c r="D55" s="0" t="s">
        <v>3313</v>
      </c>
      <c r="E55" s="0" t="s">
        <v>3314</v>
      </c>
      <c r="F55" s="0" t="s">
        <v>3209</v>
      </c>
      <c r="G55" s="0" t="s">
        <v>1691</v>
      </c>
    </row>
    <row customHeight="1" ht="11.25">
      <c r="A56" s="373" t="s">
        <v>14</v>
      </c>
      <c r="B56" s="0" t="s">
        <v>3307</v>
      </c>
      <c r="C56" s="0" t="s">
        <v>3308</v>
      </c>
      <c r="D56" s="0" t="s">
        <v>3315</v>
      </c>
      <c r="E56" s="0" t="s">
        <v>3316</v>
      </c>
      <c r="F56" s="0" t="s">
        <v>3209</v>
      </c>
      <c r="G56" s="0" t="s">
        <v>1694</v>
      </c>
    </row>
    <row customHeight="1" ht="11.25">
      <c r="A57" s="373" t="s">
        <v>14</v>
      </c>
      <c r="B57" s="0" t="s">
        <v>3307</v>
      </c>
      <c r="C57" s="0" t="s">
        <v>3308</v>
      </c>
      <c r="D57" s="0" t="s">
        <v>3317</v>
      </c>
      <c r="E57" s="0" t="s">
        <v>3318</v>
      </c>
      <c r="F57" s="0" t="s">
        <v>3209</v>
      </c>
      <c r="G57" s="0" t="s">
        <v>1697</v>
      </c>
    </row>
    <row customHeight="1" ht="11.25">
      <c r="A58" s="373" t="s">
        <v>14</v>
      </c>
      <c r="B58" s="0" t="s">
        <v>3307</v>
      </c>
      <c r="C58" s="0" t="s">
        <v>3308</v>
      </c>
      <c r="D58" s="0" t="s">
        <v>3319</v>
      </c>
      <c r="E58" s="0" t="s">
        <v>3320</v>
      </c>
      <c r="F58" s="0" t="s">
        <v>3209</v>
      </c>
      <c r="G58" s="0" t="s">
        <v>1700</v>
      </c>
    </row>
    <row customHeight="1" ht="11.25">
      <c r="A59" s="373" t="s">
        <v>14</v>
      </c>
      <c r="B59" s="0" t="s">
        <v>3307</v>
      </c>
      <c r="C59" s="0" t="s">
        <v>3308</v>
      </c>
      <c r="D59" s="0" t="s">
        <v>3321</v>
      </c>
      <c r="E59" s="0" t="s">
        <v>3322</v>
      </c>
      <c r="F59" s="0" t="s">
        <v>3209</v>
      </c>
      <c r="G59" s="0" t="s">
        <v>1704</v>
      </c>
    </row>
    <row customHeight="1" ht="11.25">
      <c r="A60" s="373" t="s">
        <v>14</v>
      </c>
      <c r="B60" s="0" t="s">
        <v>3323</v>
      </c>
      <c r="C60" s="0" t="s">
        <v>3324</v>
      </c>
      <c r="D60" s="0" t="s">
        <v>3323</v>
      </c>
      <c r="E60" s="0" t="s">
        <v>3324</v>
      </c>
      <c r="F60" s="0" t="s">
        <v>3206</v>
      </c>
      <c r="G60" s="0" t="s">
        <v>1707</v>
      </c>
    </row>
    <row customHeight="1" ht="11.25">
      <c r="A61" s="373" t="s">
        <v>14</v>
      </c>
      <c r="B61" s="0" t="s">
        <v>3323</v>
      </c>
      <c r="C61" s="0" t="s">
        <v>3324</v>
      </c>
      <c r="D61" s="0" t="s">
        <v>3325</v>
      </c>
      <c r="E61" s="0" t="s">
        <v>3326</v>
      </c>
      <c r="F61" s="0" t="s">
        <v>3209</v>
      </c>
      <c r="G61" s="0" t="s">
        <v>3327</v>
      </c>
    </row>
    <row customHeight="1" ht="11.25">
      <c r="A62" s="373" t="s">
        <v>14</v>
      </c>
      <c r="B62" s="0" t="s">
        <v>3323</v>
      </c>
      <c r="C62" s="0" t="s">
        <v>3324</v>
      </c>
      <c r="D62" s="0" t="s">
        <v>3328</v>
      </c>
      <c r="E62" s="0" t="s">
        <v>3329</v>
      </c>
      <c r="F62" s="0" t="s">
        <v>3209</v>
      </c>
      <c r="G62" s="0" t="s">
        <v>3330</v>
      </c>
    </row>
    <row customHeight="1" ht="11.25">
      <c r="A63" s="373" t="s">
        <v>14</v>
      </c>
      <c r="B63" s="0" t="s">
        <v>3323</v>
      </c>
      <c r="C63" s="0" t="s">
        <v>3324</v>
      </c>
      <c r="D63" s="0" t="s">
        <v>3331</v>
      </c>
      <c r="E63" s="0" t="s">
        <v>3332</v>
      </c>
      <c r="F63" s="0" t="s">
        <v>3209</v>
      </c>
      <c r="G63" s="0" t="s">
        <v>3333</v>
      </c>
    </row>
    <row customHeight="1" ht="11.25">
      <c r="A64" s="373" t="s">
        <v>14</v>
      </c>
      <c r="B64" s="0" t="s">
        <v>3323</v>
      </c>
      <c r="C64" s="0" t="s">
        <v>3324</v>
      </c>
      <c r="D64" s="0" t="s">
        <v>3334</v>
      </c>
      <c r="E64" s="0" t="s">
        <v>3335</v>
      </c>
      <c r="F64" s="0" t="s">
        <v>3209</v>
      </c>
      <c r="G64" s="0" t="s">
        <v>3336</v>
      </c>
    </row>
    <row customHeight="1" ht="11.25">
      <c r="A65" s="373" t="s">
        <v>14</v>
      </c>
      <c r="B65" s="0" t="s">
        <v>3323</v>
      </c>
      <c r="C65" s="0" t="s">
        <v>3324</v>
      </c>
      <c r="D65" s="0" t="s">
        <v>3337</v>
      </c>
      <c r="E65" s="0" t="s">
        <v>3338</v>
      </c>
      <c r="F65" s="0" t="s">
        <v>3209</v>
      </c>
      <c r="G65" s="0" t="s">
        <v>3339</v>
      </c>
    </row>
    <row customHeight="1" ht="11.25">
      <c r="A66" s="373" t="s">
        <v>14</v>
      </c>
      <c r="B66" s="0" t="s">
        <v>3323</v>
      </c>
      <c r="C66" s="0" t="s">
        <v>3324</v>
      </c>
      <c r="D66" s="0" t="s">
        <v>3340</v>
      </c>
      <c r="E66" s="0" t="s">
        <v>3341</v>
      </c>
      <c r="F66" s="0" t="s">
        <v>3209</v>
      </c>
      <c r="G66" s="0" t="s">
        <v>3342</v>
      </c>
    </row>
    <row customHeight="1" ht="11.25">
      <c r="A67" s="373" t="s">
        <v>14</v>
      </c>
      <c r="B67" s="0" t="s">
        <v>3323</v>
      </c>
      <c r="C67" s="0" t="s">
        <v>3324</v>
      </c>
      <c r="D67" s="0" t="s">
        <v>3343</v>
      </c>
      <c r="E67" s="0" t="s">
        <v>3344</v>
      </c>
      <c r="F67" s="0" t="s">
        <v>3209</v>
      </c>
      <c r="G67" s="0" t="s">
        <v>1928</v>
      </c>
    </row>
    <row customHeight="1" ht="11.25">
      <c r="A68" s="373" t="s">
        <v>14</v>
      </c>
      <c r="B68" s="0" t="s">
        <v>3323</v>
      </c>
      <c r="C68" s="0" t="s">
        <v>3324</v>
      </c>
      <c r="D68" s="0" t="s">
        <v>3345</v>
      </c>
      <c r="E68" s="0" t="s">
        <v>3346</v>
      </c>
      <c r="F68" s="0" t="s">
        <v>3209</v>
      </c>
      <c r="G68" s="0" t="s">
        <v>3347</v>
      </c>
    </row>
    <row customHeight="1" ht="11.25">
      <c r="A69" s="373" t="s">
        <v>14</v>
      </c>
      <c r="B69" s="0" t="s">
        <v>3323</v>
      </c>
      <c r="C69" s="0" t="s">
        <v>3324</v>
      </c>
      <c r="D69" s="0" t="s">
        <v>3348</v>
      </c>
      <c r="E69" s="0" t="s">
        <v>3349</v>
      </c>
      <c r="F69" s="0" t="s">
        <v>3209</v>
      </c>
      <c r="G69" s="0" t="s">
        <v>2139</v>
      </c>
    </row>
    <row customHeight="1" ht="11.25">
      <c r="A70" s="373" t="s">
        <v>14</v>
      </c>
      <c r="B70" s="0" t="s">
        <v>3323</v>
      </c>
      <c r="C70" s="0" t="s">
        <v>3324</v>
      </c>
      <c r="D70" s="0" t="s">
        <v>3350</v>
      </c>
      <c r="E70" s="0" t="s">
        <v>3351</v>
      </c>
      <c r="F70" s="0" t="s">
        <v>3209</v>
      </c>
      <c r="G70" s="0" t="s">
        <v>3352</v>
      </c>
    </row>
    <row customHeight="1" ht="11.25">
      <c r="A71" s="373" t="s">
        <v>14</v>
      </c>
      <c r="B71" s="0" t="s">
        <v>3353</v>
      </c>
      <c r="C71" s="0" t="s">
        <v>3354</v>
      </c>
      <c r="D71" s="0" t="s">
        <v>3355</v>
      </c>
      <c r="E71" s="0" t="s">
        <v>3356</v>
      </c>
      <c r="F71" s="0" t="s">
        <v>3209</v>
      </c>
      <c r="G71" s="0" t="s">
        <v>3357</v>
      </c>
    </row>
    <row customHeight="1" ht="11.25">
      <c r="A72" s="373" t="s">
        <v>14</v>
      </c>
      <c r="B72" s="0" t="s">
        <v>3353</v>
      </c>
      <c r="C72" s="0" t="s">
        <v>3354</v>
      </c>
      <c r="D72" s="0" t="s">
        <v>3353</v>
      </c>
      <c r="E72" s="0" t="s">
        <v>3354</v>
      </c>
      <c r="F72" s="0" t="s">
        <v>3206</v>
      </c>
      <c r="G72" s="0" t="s">
        <v>3358</v>
      </c>
    </row>
    <row customHeight="1" ht="11.25">
      <c r="A73" s="373" t="s">
        <v>14</v>
      </c>
      <c r="B73" s="0" t="s">
        <v>3353</v>
      </c>
      <c r="C73" s="0" t="s">
        <v>3354</v>
      </c>
      <c r="D73" s="0" t="s">
        <v>3359</v>
      </c>
      <c r="E73" s="0" t="s">
        <v>3360</v>
      </c>
      <c r="F73" s="0" t="s">
        <v>3209</v>
      </c>
      <c r="G73" s="0" t="s">
        <v>3361</v>
      </c>
    </row>
    <row customHeight="1" ht="11.25">
      <c r="A74" s="373" t="s">
        <v>14</v>
      </c>
      <c r="B74" s="0" t="s">
        <v>3353</v>
      </c>
      <c r="C74" s="0" t="s">
        <v>3354</v>
      </c>
      <c r="D74" s="0" t="s">
        <v>3362</v>
      </c>
      <c r="E74" s="0" t="s">
        <v>3363</v>
      </c>
      <c r="F74" s="0" t="s">
        <v>3209</v>
      </c>
      <c r="G74" s="0" t="s">
        <v>3364</v>
      </c>
    </row>
    <row customHeight="1" ht="11.25">
      <c r="A75" s="373" t="s">
        <v>14</v>
      </c>
      <c r="B75" s="0" t="s">
        <v>3353</v>
      </c>
      <c r="C75" s="0" t="s">
        <v>3354</v>
      </c>
      <c r="D75" s="0" t="s">
        <v>3365</v>
      </c>
      <c r="E75" s="0" t="s">
        <v>3366</v>
      </c>
      <c r="F75" s="0" t="s">
        <v>3209</v>
      </c>
      <c r="G75" s="0" t="s">
        <v>3367</v>
      </c>
    </row>
    <row customHeight="1" ht="11.25">
      <c r="A76" s="373" t="s">
        <v>14</v>
      </c>
      <c r="B76" s="0" t="s">
        <v>3368</v>
      </c>
      <c r="C76" s="0" t="s">
        <v>3369</v>
      </c>
      <c r="D76" s="0" t="s">
        <v>3368</v>
      </c>
      <c r="E76" s="0" t="s">
        <v>3369</v>
      </c>
      <c r="F76" s="0" t="s">
        <v>3206</v>
      </c>
      <c r="G76" s="0" t="s">
        <v>3370</v>
      </c>
    </row>
    <row customHeight="1" ht="11.25">
      <c r="A77" s="373" t="s">
        <v>14</v>
      </c>
      <c r="B77" s="0" t="s">
        <v>3368</v>
      </c>
      <c r="C77" s="0" t="s">
        <v>3369</v>
      </c>
      <c r="D77" s="0" t="s">
        <v>3371</v>
      </c>
      <c r="E77" s="0" t="s">
        <v>3372</v>
      </c>
      <c r="F77" s="0" t="s">
        <v>3209</v>
      </c>
      <c r="G77" s="0" t="s">
        <v>3373</v>
      </c>
    </row>
    <row customHeight="1" ht="11.25">
      <c r="A78" s="373" t="s">
        <v>14</v>
      </c>
      <c r="B78" s="0" t="s">
        <v>3368</v>
      </c>
      <c r="C78" s="0" t="s">
        <v>3369</v>
      </c>
      <c r="D78" s="0" t="s">
        <v>3374</v>
      </c>
      <c r="E78" s="0" t="s">
        <v>3375</v>
      </c>
      <c r="F78" s="0" t="s">
        <v>3209</v>
      </c>
      <c r="G78" s="0" t="s">
        <v>3376</v>
      </c>
    </row>
    <row customHeight="1" ht="11.25">
      <c r="A79" s="373" t="s">
        <v>14</v>
      </c>
      <c r="B79" s="0" t="s">
        <v>3368</v>
      </c>
      <c r="C79" s="0" t="s">
        <v>3369</v>
      </c>
      <c r="D79" s="0" t="s">
        <v>3377</v>
      </c>
      <c r="E79" s="0" t="s">
        <v>3378</v>
      </c>
      <c r="F79" s="0" t="s">
        <v>3209</v>
      </c>
      <c r="G79" s="0" t="s">
        <v>3379</v>
      </c>
    </row>
    <row customHeight="1" ht="11.25">
      <c r="A80" s="373" t="s">
        <v>14</v>
      </c>
      <c r="B80" s="0" t="s">
        <v>3368</v>
      </c>
      <c r="C80" s="0" t="s">
        <v>3369</v>
      </c>
      <c r="D80" s="0" t="s">
        <v>3380</v>
      </c>
      <c r="E80" s="0" t="s">
        <v>3381</v>
      </c>
      <c r="F80" s="0" t="s">
        <v>3209</v>
      </c>
      <c r="G80" s="0" t="s">
        <v>3382</v>
      </c>
    </row>
    <row customHeight="1" ht="11.25">
      <c r="A81" s="373" t="s">
        <v>14</v>
      </c>
      <c r="B81" s="0" t="s">
        <v>3368</v>
      </c>
      <c r="C81" s="0" t="s">
        <v>3369</v>
      </c>
      <c r="D81" s="0" t="s">
        <v>3383</v>
      </c>
      <c r="E81" s="0" t="s">
        <v>3384</v>
      </c>
      <c r="F81" s="0" t="s">
        <v>3209</v>
      </c>
      <c r="G81" s="0" t="s">
        <v>3385</v>
      </c>
    </row>
    <row customHeight="1" ht="11.25">
      <c r="A82" s="373" t="s">
        <v>14</v>
      </c>
      <c r="B82" s="0" t="s">
        <v>3368</v>
      </c>
      <c r="C82" s="0" t="s">
        <v>3369</v>
      </c>
      <c r="D82" s="0" t="s">
        <v>3386</v>
      </c>
      <c r="E82" s="0" t="s">
        <v>3387</v>
      </c>
      <c r="F82" s="0" t="s">
        <v>3209</v>
      </c>
      <c r="G82" s="0" t="s">
        <v>3388</v>
      </c>
    </row>
    <row customHeight="1" ht="11.25">
      <c r="A83" s="373" t="s">
        <v>14</v>
      </c>
      <c r="B83" s="0" t="s">
        <v>3368</v>
      </c>
      <c r="C83" s="0" t="s">
        <v>3369</v>
      </c>
      <c r="D83" s="0" t="s">
        <v>3389</v>
      </c>
      <c r="E83" s="0" t="s">
        <v>3390</v>
      </c>
      <c r="F83" s="0" t="s">
        <v>3209</v>
      </c>
      <c r="G83" s="0" t="s">
        <v>3391</v>
      </c>
    </row>
    <row customHeight="1" ht="11.25">
      <c r="A84" s="373" t="s">
        <v>14</v>
      </c>
      <c r="B84" s="0" t="s">
        <v>99</v>
      </c>
      <c r="C84" s="0" t="s">
        <v>100</v>
      </c>
      <c r="D84" s="0" t="s">
        <v>99</v>
      </c>
      <c r="E84" s="0" t="s">
        <v>100</v>
      </c>
      <c r="F84" s="0" t="s">
        <v>3392</v>
      </c>
      <c r="G84" s="0" t="s">
        <v>98</v>
      </c>
    </row>
    <row customHeight="1" ht="11.25">
      <c r="A85" s="373" t="s">
        <v>14</v>
      </c>
      <c r="B85" s="0" t="s">
        <v>3393</v>
      </c>
      <c r="C85" s="0" t="s">
        <v>3394</v>
      </c>
      <c r="D85" s="0" t="s">
        <v>3393</v>
      </c>
      <c r="E85" s="0" t="s">
        <v>3394</v>
      </c>
      <c r="F85" s="0" t="s">
        <v>3392</v>
      </c>
      <c r="G85" s="0" t="s">
        <v>3395</v>
      </c>
    </row>
    <row customHeight="1" ht="11.25">
      <c r="A86" s="373" t="s">
        <v>14</v>
      </c>
      <c r="B86" s="0" t="s">
        <v>3396</v>
      </c>
      <c r="C86" s="0" t="s">
        <v>3397</v>
      </c>
      <c r="D86" s="0" t="s">
        <v>3396</v>
      </c>
      <c r="E86" s="0" t="s">
        <v>3397</v>
      </c>
      <c r="F86" s="0" t="s">
        <v>3392</v>
      </c>
      <c r="G86" s="0" t="s">
        <v>3398</v>
      </c>
    </row>
    <row customHeight="1" ht="11.25">
      <c r="A87" s="373" t="s">
        <v>14</v>
      </c>
      <c r="B87" s="0" t="s">
        <v>3399</v>
      </c>
      <c r="C87" s="0" t="s">
        <v>3400</v>
      </c>
      <c r="D87" s="0" t="s">
        <v>3399</v>
      </c>
      <c r="E87" s="0" t="s">
        <v>3400</v>
      </c>
      <c r="F87" s="0" t="s">
        <v>3392</v>
      </c>
      <c r="G87" s="0" t="s">
        <v>3401</v>
      </c>
    </row>
    <row customHeight="1" ht="11.25">
      <c r="A88" s="373" t="s">
        <v>14</v>
      </c>
      <c r="B88" s="0" t="s">
        <v>3402</v>
      </c>
      <c r="C88" s="0" t="s">
        <v>3403</v>
      </c>
      <c r="D88" s="0" t="s">
        <v>3402</v>
      </c>
      <c r="E88" s="0" t="s">
        <v>3403</v>
      </c>
      <c r="F88" s="0" t="s">
        <v>3392</v>
      </c>
      <c r="G88" s="0" t="s">
        <v>3404</v>
      </c>
    </row>
    <row customHeight="1" ht="11.25">
      <c r="A89" s="373" t="s">
        <v>14</v>
      </c>
      <c r="B89" s="0" t="s">
        <v>3405</v>
      </c>
      <c r="C89" s="0" t="s">
        <v>3406</v>
      </c>
      <c r="D89" s="0" t="s">
        <v>3405</v>
      </c>
      <c r="E89" s="0" t="s">
        <v>3406</v>
      </c>
      <c r="F89" s="0" t="s">
        <v>3392</v>
      </c>
      <c r="G89" s="0" t="s">
        <v>3407</v>
      </c>
    </row>
    <row customHeight="1" ht="11.25">
      <c r="A90" s="373" t="s">
        <v>14</v>
      </c>
      <c r="B90" s="0" t="s">
        <v>3408</v>
      </c>
      <c r="C90" s="0" t="s">
        <v>3409</v>
      </c>
      <c r="D90" s="0" t="s">
        <v>3408</v>
      </c>
      <c r="E90" s="0" t="s">
        <v>3409</v>
      </c>
      <c r="F90" s="0" t="s">
        <v>3392</v>
      </c>
      <c r="G90" s="0" t="s">
        <v>3410</v>
      </c>
    </row>
    <row customHeight="1" ht="11.25">
      <c r="A91" s="373" t="s">
        <v>14</v>
      </c>
      <c r="B91" s="0" t="s">
        <v>3411</v>
      </c>
      <c r="C91" s="0" t="s">
        <v>3412</v>
      </c>
      <c r="D91" s="0" t="s">
        <v>3411</v>
      </c>
      <c r="E91" s="0" t="s">
        <v>3412</v>
      </c>
      <c r="F91" s="0" t="s">
        <v>3392</v>
      </c>
      <c r="G91" s="0" t="s">
        <v>3413</v>
      </c>
    </row>
    <row customHeight="1" ht="11.25">
      <c r="A92" s="373" t="s">
        <v>14</v>
      </c>
      <c r="B92" s="0" t="s">
        <v>3414</v>
      </c>
      <c r="C92" s="0" t="s">
        <v>3415</v>
      </c>
      <c r="D92" s="0" t="s">
        <v>3414</v>
      </c>
      <c r="E92" s="0" t="s">
        <v>3415</v>
      </c>
      <c r="F92" s="0" t="s">
        <v>3392</v>
      </c>
      <c r="G92" s="0" t="s">
        <v>3416</v>
      </c>
    </row>
    <row customHeight="1" ht="11.25">
      <c r="A93" s="373" t="s">
        <v>14</v>
      </c>
      <c r="B93" s="0" t="s">
        <v>3417</v>
      </c>
      <c r="C93" s="0" t="s">
        <v>3418</v>
      </c>
      <c r="D93" s="0" t="s">
        <v>3417</v>
      </c>
      <c r="E93" s="0" t="s">
        <v>3418</v>
      </c>
      <c r="F93" s="0" t="s">
        <v>3392</v>
      </c>
      <c r="G93" s="0" t="s">
        <v>3419</v>
      </c>
    </row>
    <row customHeight="1" ht="11.25">
      <c r="A94" s="373" t="s">
        <v>14</v>
      </c>
      <c r="B94" s="0" t="s">
        <v>3420</v>
      </c>
      <c r="C94" s="0" t="s">
        <v>3421</v>
      </c>
      <c r="D94" s="0" t="s">
        <v>3420</v>
      </c>
      <c r="E94" s="0" t="s">
        <v>3421</v>
      </c>
      <c r="F94" s="0" t="s">
        <v>3392</v>
      </c>
      <c r="G94" s="0" t="s">
        <v>3422</v>
      </c>
    </row>
    <row customHeight="1" ht="11.25">
      <c r="A95" s="373" t="s">
        <v>14</v>
      </c>
      <c r="B95" s="0" t="s">
        <v>3423</v>
      </c>
      <c r="C95" s="0" t="s">
        <v>3424</v>
      </c>
      <c r="D95" s="0" t="s">
        <v>3423</v>
      </c>
      <c r="E95" s="0" t="s">
        <v>3424</v>
      </c>
      <c r="F95" s="0" t="s">
        <v>3392</v>
      </c>
      <c r="G95" s="0" t="s">
        <v>3425</v>
      </c>
    </row>
    <row customHeight="1" ht="11.25">
      <c r="A96" s="373" t="s">
        <v>14</v>
      </c>
      <c r="B96" s="0" t="s">
        <v>3426</v>
      </c>
      <c r="C96" s="0" t="s">
        <v>3427</v>
      </c>
      <c r="D96" s="0" t="s">
        <v>3428</v>
      </c>
      <c r="E96" s="0" t="s">
        <v>3429</v>
      </c>
      <c r="F96" s="0" t="s">
        <v>3209</v>
      </c>
      <c r="G96" s="0" t="s">
        <v>3430</v>
      </c>
    </row>
    <row customHeight="1" ht="11.25">
      <c r="A97" s="373" t="s">
        <v>14</v>
      </c>
      <c r="B97" s="0" t="s">
        <v>3426</v>
      </c>
      <c r="C97" s="0" t="s">
        <v>3427</v>
      </c>
      <c r="D97" s="0" t="s">
        <v>3431</v>
      </c>
      <c r="E97" s="0" t="s">
        <v>3432</v>
      </c>
      <c r="F97" s="0" t="s">
        <v>3209</v>
      </c>
      <c r="G97" s="0" t="s">
        <v>3433</v>
      </c>
    </row>
    <row customHeight="1" ht="11.25">
      <c r="A98" s="373" t="s">
        <v>14</v>
      </c>
      <c r="B98" s="0" t="s">
        <v>3426</v>
      </c>
      <c r="C98" s="0" t="s">
        <v>3427</v>
      </c>
      <c r="D98" s="0" t="s">
        <v>3434</v>
      </c>
      <c r="E98" s="0" t="s">
        <v>3435</v>
      </c>
      <c r="F98" s="0" t="s">
        <v>3209</v>
      </c>
      <c r="G98" s="0" t="s">
        <v>3436</v>
      </c>
    </row>
    <row customHeight="1" ht="11.25">
      <c r="A99" s="373" t="s">
        <v>14</v>
      </c>
      <c r="B99" s="0" t="s">
        <v>3426</v>
      </c>
      <c r="C99" s="0" t="s">
        <v>3427</v>
      </c>
      <c r="D99" s="0" t="s">
        <v>3359</v>
      </c>
      <c r="E99" s="0" t="s">
        <v>3437</v>
      </c>
      <c r="F99" s="0" t="s">
        <v>3209</v>
      </c>
      <c r="G99" s="0" t="s">
        <v>3438</v>
      </c>
    </row>
    <row customHeight="1" ht="11.25">
      <c r="A100" s="373" t="s">
        <v>14</v>
      </c>
      <c r="B100" s="0" t="s">
        <v>3426</v>
      </c>
      <c r="C100" s="0" t="s">
        <v>3427</v>
      </c>
      <c r="D100" s="0" t="s">
        <v>3439</v>
      </c>
      <c r="E100" s="0" t="s">
        <v>3440</v>
      </c>
      <c r="F100" s="0" t="s">
        <v>3209</v>
      </c>
      <c r="G100" s="0" t="s">
        <v>3441</v>
      </c>
    </row>
    <row customHeight="1" ht="11.25">
      <c r="A101" s="373" t="s">
        <v>14</v>
      </c>
      <c r="B101" s="0" t="s">
        <v>3426</v>
      </c>
      <c r="C101" s="0" t="s">
        <v>3427</v>
      </c>
      <c r="D101" s="0" t="s">
        <v>3426</v>
      </c>
      <c r="E101" s="0" t="s">
        <v>3427</v>
      </c>
      <c r="F101" s="0" t="s">
        <v>3206</v>
      </c>
      <c r="G101" s="0" t="s">
        <v>3442</v>
      </c>
    </row>
    <row customHeight="1" ht="11.25">
      <c r="A102" s="373" t="s">
        <v>14</v>
      </c>
      <c r="B102" s="0" t="s">
        <v>3426</v>
      </c>
      <c r="C102" s="0" t="s">
        <v>3427</v>
      </c>
      <c r="D102" s="0" t="s">
        <v>3443</v>
      </c>
      <c r="E102" s="0" t="s">
        <v>3444</v>
      </c>
      <c r="F102" s="0" t="s">
        <v>3209</v>
      </c>
      <c r="G102" s="0" t="s">
        <v>3445</v>
      </c>
    </row>
    <row customHeight="1" ht="11.25">
      <c r="A103" s="373" t="s">
        <v>14</v>
      </c>
      <c r="B103" s="0" t="s">
        <v>3426</v>
      </c>
      <c r="C103" s="0" t="s">
        <v>3427</v>
      </c>
      <c r="D103" s="0" t="s">
        <v>3446</v>
      </c>
      <c r="E103" s="0" t="s">
        <v>3447</v>
      </c>
      <c r="F103" s="0" t="s">
        <v>3209</v>
      </c>
      <c r="G103" s="0" t="s">
        <v>3448</v>
      </c>
    </row>
    <row customHeight="1" ht="11.25">
      <c r="A104" s="373" t="s">
        <v>14</v>
      </c>
      <c r="B104" s="0" t="s">
        <v>3426</v>
      </c>
      <c r="C104" s="0" t="s">
        <v>3427</v>
      </c>
      <c r="D104" s="0" t="s">
        <v>3449</v>
      </c>
      <c r="E104" s="0" t="s">
        <v>3450</v>
      </c>
      <c r="F104" s="0" t="s">
        <v>3209</v>
      </c>
      <c r="G104" s="0" t="s">
        <v>3451</v>
      </c>
    </row>
    <row customHeight="1" ht="11.25">
      <c r="A105" s="373" t="s">
        <v>14</v>
      </c>
      <c r="B105" s="0" t="s">
        <v>3426</v>
      </c>
      <c r="C105" s="0" t="s">
        <v>3427</v>
      </c>
      <c r="D105" s="0" t="s">
        <v>3452</v>
      </c>
      <c r="E105" s="0" t="s">
        <v>3453</v>
      </c>
      <c r="F105" s="0" t="s">
        <v>3209</v>
      </c>
      <c r="G105" s="0" t="s">
        <v>3454</v>
      </c>
    </row>
    <row customHeight="1" ht="11.25">
      <c r="A106" s="373" t="s">
        <v>14</v>
      </c>
      <c r="B106" s="0" t="s">
        <v>3426</v>
      </c>
      <c r="C106" s="0" t="s">
        <v>3427</v>
      </c>
      <c r="D106" s="0" t="s">
        <v>3455</v>
      </c>
      <c r="E106" s="0" t="s">
        <v>3456</v>
      </c>
      <c r="F106" s="0" t="s">
        <v>3209</v>
      </c>
      <c r="G106" s="0" t="s">
        <v>3457</v>
      </c>
    </row>
    <row customHeight="1" ht="11.25">
      <c r="A107" s="373" t="s">
        <v>14</v>
      </c>
      <c r="B107" s="0" t="s">
        <v>3426</v>
      </c>
      <c r="C107" s="0" t="s">
        <v>3427</v>
      </c>
      <c r="D107" s="0" t="s">
        <v>3458</v>
      </c>
      <c r="E107" s="0" t="s">
        <v>3459</v>
      </c>
      <c r="F107" s="0" t="s">
        <v>3209</v>
      </c>
      <c r="G107" s="0" t="s">
        <v>3460</v>
      </c>
    </row>
    <row customHeight="1" ht="11.25">
      <c r="A108" s="373" t="s">
        <v>14</v>
      </c>
      <c r="B108" s="0" t="s">
        <v>3426</v>
      </c>
      <c r="C108" s="0" t="s">
        <v>3427</v>
      </c>
      <c r="D108" s="0" t="s">
        <v>3386</v>
      </c>
      <c r="E108" s="0" t="s">
        <v>3461</v>
      </c>
      <c r="F108" s="0" t="s">
        <v>3209</v>
      </c>
      <c r="G108" s="0" t="s">
        <v>3462</v>
      </c>
    </row>
    <row customHeight="1" ht="11.25">
      <c r="A109" s="373" t="s">
        <v>14</v>
      </c>
      <c r="B109" s="0" t="s">
        <v>3426</v>
      </c>
      <c r="C109" s="0" t="s">
        <v>3427</v>
      </c>
      <c r="D109" s="0" t="s">
        <v>3463</v>
      </c>
      <c r="E109" s="0" t="s">
        <v>3464</v>
      </c>
      <c r="F109" s="0" t="s">
        <v>3209</v>
      </c>
      <c r="G109" s="0" t="s">
        <v>3465</v>
      </c>
    </row>
    <row customHeight="1" ht="11.25">
      <c r="A110" s="373" t="s">
        <v>14</v>
      </c>
      <c r="B110" s="0" t="s">
        <v>3466</v>
      </c>
      <c r="C110" s="0" t="s">
        <v>3467</v>
      </c>
      <c r="D110" s="0" t="s">
        <v>3468</v>
      </c>
      <c r="E110" s="0" t="s">
        <v>3469</v>
      </c>
      <c r="F110" s="0" t="s">
        <v>3209</v>
      </c>
      <c r="G110" s="0" t="s">
        <v>3470</v>
      </c>
    </row>
    <row customHeight="1" ht="11.25">
      <c r="A111" s="373" t="s">
        <v>14</v>
      </c>
      <c r="B111" s="0" t="s">
        <v>3466</v>
      </c>
      <c r="C111" s="0" t="s">
        <v>3467</v>
      </c>
      <c r="D111" s="0" t="s">
        <v>3471</v>
      </c>
      <c r="E111" s="0" t="s">
        <v>3472</v>
      </c>
      <c r="F111" s="0" t="s">
        <v>3209</v>
      </c>
      <c r="G111" s="0" t="s">
        <v>3473</v>
      </c>
    </row>
    <row customHeight="1" ht="11.25">
      <c r="A112" s="373" t="s">
        <v>14</v>
      </c>
      <c r="B112" s="0" t="s">
        <v>3466</v>
      </c>
      <c r="C112" s="0" t="s">
        <v>3467</v>
      </c>
      <c r="D112" s="0" t="s">
        <v>3466</v>
      </c>
      <c r="E112" s="0" t="s">
        <v>3467</v>
      </c>
      <c r="F112" s="0" t="s">
        <v>3206</v>
      </c>
      <c r="G112" s="0" t="s">
        <v>3474</v>
      </c>
    </row>
    <row customHeight="1" ht="11.25">
      <c r="A113" s="373" t="s">
        <v>14</v>
      </c>
      <c r="B113" s="0" t="s">
        <v>3466</v>
      </c>
      <c r="C113" s="0" t="s">
        <v>3467</v>
      </c>
      <c r="D113" s="0" t="s">
        <v>3475</v>
      </c>
      <c r="E113" s="0" t="s">
        <v>3476</v>
      </c>
      <c r="F113" s="0" t="s">
        <v>3209</v>
      </c>
      <c r="G113" s="0" t="s">
        <v>3477</v>
      </c>
    </row>
    <row customHeight="1" ht="11.25">
      <c r="A114" s="373" t="s">
        <v>14</v>
      </c>
      <c r="B114" s="0" t="s">
        <v>3466</v>
      </c>
      <c r="C114" s="0" t="s">
        <v>3467</v>
      </c>
      <c r="D114" s="0" t="s">
        <v>3291</v>
      </c>
      <c r="E114" s="0" t="s">
        <v>3478</v>
      </c>
      <c r="F114" s="0" t="s">
        <v>3209</v>
      </c>
      <c r="G114" s="0" t="s">
        <v>3479</v>
      </c>
    </row>
    <row customHeight="1" ht="11.25">
      <c r="A115" s="373" t="s">
        <v>14</v>
      </c>
      <c r="B115" s="0" t="s">
        <v>3466</v>
      </c>
      <c r="C115" s="0" t="s">
        <v>3467</v>
      </c>
      <c r="D115" s="0" t="s">
        <v>3480</v>
      </c>
      <c r="E115" s="0" t="s">
        <v>3481</v>
      </c>
      <c r="F115" s="0" t="s">
        <v>3209</v>
      </c>
      <c r="G115" s="0" t="s">
        <v>3482</v>
      </c>
    </row>
    <row customHeight="1" ht="11.25">
      <c r="A116" s="373" t="s">
        <v>14</v>
      </c>
      <c r="B116" s="0" t="s">
        <v>3466</v>
      </c>
      <c r="C116" s="0" t="s">
        <v>3467</v>
      </c>
      <c r="D116" s="0" t="s">
        <v>3483</v>
      </c>
      <c r="E116" s="0" t="s">
        <v>3484</v>
      </c>
      <c r="F116" s="0" t="s">
        <v>3209</v>
      </c>
      <c r="G116" s="0" t="s">
        <v>3485</v>
      </c>
    </row>
    <row customHeight="1" ht="11.25">
      <c r="A117" s="373" t="s">
        <v>14</v>
      </c>
      <c r="B117" s="0" t="s">
        <v>3466</v>
      </c>
      <c r="C117" s="0" t="s">
        <v>3467</v>
      </c>
      <c r="D117" s="0" t="s">
        <v>3486</v>
      </c>
      <c r="E117" s="0" t="s">
        <v>3487</v>
      </c>
      <c r="F117" s="0" t="s">
        <v>3209</v>
      </c>
      <c r="G117" s="0" t="s">
        <v>3488</v>
      </c>
    </row>
    <row customHeight="1" ht="11.25">
      <c r="A118" s="373" t="s">
        <v>14</v>
      </c>
      <c r="B118" s="0" t="s">
        <v>3466</v>
      </c>
      <c r="C118" s="0" t="s">
        <v>3467</v>
      </c>
      <c r="D118" s="0" t="s">
        <v>3489</v>
      </c>
      <c r="E118" s="0" t="s">
        <v>3490</v>
      </c>
      <c r="F118" s="0" t="s">
        <v>3209</v>
      </c>
      <c r="G118" s="0" t="s">
        <v>3491</v>
      </c>
    </row>
    <row customHeight="1" ht="11.25">
      <c r="A119" s="373" t="s">
        <v>14</v>
      </c>
      <c r="B119" s="0" t="s">
        <v>3466</v>
      </c>
      <c r="C119" s="0" t="s">
        <v>3467</v>
      </c>
      <c r="D119" s="0" t="s">
        <v>3492</v>
      </c>
      <c r="E119" s="0" t="s">
        <v>3493</v>
      </c>
      <c r="F119" s="0" t="s">
        <v>3209</v>
      </c>
      <c r="G119" s="0" t="s">
        <v>3494</v>
      </c>
    </row>
    <row customHeight="1" ht="11.25">
      <c r="A120" s="373" t="s">
        <v>14</v>
      </c>
      <c r="B120" s="0" t="s">
        <v>3495</v>
      </c>
      <c r="C120" s="0" t="s">
        <v>3496</v>
      </c>
      <c r="D120" s="0" t="s">
        <v>3495</v>
      </c>
      <c r="E120" s="0" t="s">
        <v>3496</v>
      </c>
      <c r="F120" s="0" t="s">
        <v>3206</v>
      </c>
      <c r="G120" s="0" t="s">
        <v>3497</v>
      </c>
    </row>
    <row customHeight="1" ht="11.25">
      <c r="A121" s="373" t="s">
        <v>14</v>
      </c>
      <c r="B121" s="0" t="s">
        <v>3495</v>
      </c>
      <c r="C121" s="0" t="s">
        <v>3496</v>
      </c>
      <c r="D121" s="0" t="s">
        <v>3498</v>
      </c>
      <c r="E121" s="0" t="s">
        <v>3499</v>
      </c>
      <c r="F121" s="0" t="s">
        <v>3209</v>
      </c>
      <c r="G121" s="0" t="s">
        <v>3500</v>
      </c>
    </row>
    <row customHeight="1" ht="11.25">
      <c r="A122" s="373" t="s">
        <v>14</v>
      </c>
      <c r="B122" s="0" t="s">
        <v>3495</v>
      </c>
      <c r="C122" s="0" t="s">
        <v>3496</v>
      </c>
      <c r="D122" s="0" t="s">
        <v>3501</v>
      </c>
      <c r="E122" s="0" t="s">
        <v>3502</v>
      </c>
      <c r="F122" s="0" t="s">
        <v>3209</v>
      </c>
      <c r="G122" s="0" t="s">
        <v>3503</v>
      </c>
    </row>
    <row customHeight="1" ht="11.25">
      <c r="A123" s="373" t="s">
        <v>14</v>
      </c>
      <c r="B123" s="0" t="s">
        <v>3495</v>
      </c>
      <c r="C123" s="0" t="s">
        <v>3496</v>
      </c>
      <c r="D123" s="0" t="s">
        <v>3504</v>
      </c>
      <c r="E123" s="0" t="s">
        <v>3505</v>
      </c>
      <c r="F123" s="0" t="s">
        <v>3209</v>
      </c>
      <c r="G123" s="0" t="s">
        <v>3506</v>
      </c>
    </row>
    <row customHeight="1" ht="11.25">
      <c r="A124" s="373" t="s">
        <v>14</v>
      </c>
      <c r="B124" s="0" t="s">
        <v>3495</v>
      </c>
      <c r="C124" s="0" t="s">
        <v>3496</v>
      </c>
      <c r="D124" s="0" t="s">
        <v>3507</v>
      </c>
      <c r="E124" s="0" t="s">
        <v>3508</v>
      </c>
      <c r="F124" s="0" t="s">
        <v>3209</v>
      </c>
      <c r="G124" s="0" t="s">
        <v>3509</v>
      </c>
    </row>
    <row customHeight="1" ht="11.25">
      <c r="A125" s="373" t="s">
        <v>14</v>
      </c>
      <c r="B125" s="0" t="s">
        <v>3495</v>
      </c>
      <c r="C125" s="0" t="s">
        <v>3496</v>
      </c>
      <c r="D125" s="0" t="s">
        <v>3510</v>
      </c>
      <c r="E125" s="0" t="s">
        <v>3511</v>
      </c>
      <c r="F125" s="0" t="s">
        <v>3209</v>
      </c>
      <c r="G125" s="0" t="s">
        <v>3512</v>
      </c>
    </row>
    <row customHeight="1" ht="11.25">
      <c r="A126" s="373" t="s">
        <v>14</v>
      </c>
      <c r="B126" s="0" t="s">
        <v>3495</v>
      </c>
      <c r="C126" s="0" t="s">
        <v>3496</v>
      </c>
      <c r="D126" s="0" t="s">
        <v>3513</v>
      </c>
      <c r="E126" s="0" t="s">
        <v>3514</v>
      </c>
      <c r="F126" s="0" t="s">
        <v>3209</v>
      </c>
      <c r="G126" s="0" t="s">
        <v>3515</v>
      </c>
    </row>
    <row customHeight="1" ht="11.25">
      <c r="A127" s="373" t="s">
        <v>14</v>
      </c>
      <c r="B127" s="0" t="s">
        <v>3495</v>
      </c>
      <c r="C127" s="0" t="s">
        <v>3496</v>
      </c>
      <c r="D127" s="0" t="s">
        <v>3516</v>
      </c>
      <c r="E127" s="0" t="s">
        <v>3517</v>
      </c>
      <c r="F127" s="0" t="s">
        <v>3209</v>
      </c>
      <c r="G127" s="0" t="s">
        <v>3518</v>
      </c>
    </row>
    <row customHeight="1" ht="11.25">
      <c r="A128" s="373" t="s">
        <v>14</v>
      </c>
      <c r="B128" s="0" t="s">
        <v>3495</v>
      </c>
      <c r="C128" s="0" t="s">
        <v>3496</v>
      </c>
      <c r="D128" s="0" t="s">
        <v>3519</v>
      </c>
      <c r="E128" s="0" t="s">
        <v>3520</v>
      </c>
      <c r="F128" s="0" t="s">
        <v>3209</v>
      </c>
      <c r="G128" s="0" t="s">
        <v>3521</v>
      </c>
    </row>
    <row customHeight="1" ht="11.25">
      <c r="A129" s="373" t="s">
        <v>14</v>
      </c>
      <c r="B129" s="0" t="s">
        <v>3495</v>
      </c>
      <c r="C129" s="0" t="s">
        <v>3496</v>
      </c>
      <c r="D129" s="0" t="s">
        <v>3522</v>
      </c>
      <c r="E129" s="0" t="s">
        <v>3523</v>
      </c>
      <c r="F129" s="0" t="s">
        <v>3209</v>
      </c>
      <c r="G129" s="0" t="s">
        <v>3524</v>
      </c>
    </row>
    <row customHeight="1" ht="11.25">
      <c r="A130" s="373" t="s">
        <v>14</v>
      </c>
      <c r="B130" s="0" t="s">
        <v>3525</v>
      </c>
      <c r="C130" s="0" t="s">
        <v>3526</v>
      </c>
      <c r="D130" s="0" t="s">
        <v>3527</v>
      </c>
      <c r="E130" s="0" t="s">
        <v>3528</v>
      </c>
      <c r="F130" s="0" t="s">
        <v>3209</v>
      </c>
      <c r="G130" s="0" t="s">
        <v>3529</v>
      </c>
    </row>
    <row customHeight="1" ht="11.25">
      <c r="A131" s="373" t="s">
        <v>14</v>
      </c>
      <c r="B131" s="0" t="s">
        <v>3525</v>
      </c>
      <c r="C131" s="0" t="s">
        <v>3526</v>
      </c>
      <c r="D131" s="0" t="s">
        <v>3530</v>
      </c>
      <c r="E131" s="0" t="s">
        <v>3531</v>
      </c>
      <c r="F131" s="0" t="s">
        <v>3209</v>
      </c>
      <c r="G131" s="0" t="s">
        <v>3532</v>
      </c>
    </row>
    <row customHeight="1" ht="11.25">
      <c r="A132" s="373" t="s">
        <v>14</v>
      </c>
      <c r="B132" s="0" t="s">
        <v>3525</v>
      </c>
      <c r="C132" s="0" t="s">
        <v>3526</v>
      </c>
      <c r="D132" s="0" t="s">
        <v>3533</v>
      </c>
      <c r="E132" s="0" t="s">
        <v>3534</v>
      </c>
      <c r="F132" s="0" t="s">
        <v>3209</v>
      </c>
      <c r="G132" s="0" t="s">
        <v>3535</v>
      </c>
    </row>
    <row customHeight="1" ht="11.25">
      <c r="A133" s="373" t="s">
        <v>14</v>
      </c>
      <c r="B133" s="0" t="s">
        <v>3525</v>
      </c>
      <c r="C133" s="0" t="s">
        <v>3526</v>
      </c>
      <c r="D133" s="0" t="s">
        <v>3525</v>
      </c>
      <c r="E133" s="0" t="s">
        <v>3526</v>
      </c>
      <c r="F133" s="0" t="s">
        <v>3206</v>
      </c>
      <c r="G133" s="0" t="s">
        <v>3536</v>
      </c>
    </row>
    <row customHeight="1" ht="11.25">
      <c r="A134" s="373" t="s">
        <v>14</v>
      </c>
      <c r="B134" s="0" t="s">
        <v>3525</v>
      </c>
      <c r="C134" s="0" t="s">
        <v>3526</v>
      </c>
      <c r="D134" s="0" t="s">
        <v>3537</v>
      </c>
      <c r="E134" s="0" t="s">
        <v>3538</v>
      </c>
      <c r="F134" s="0" t="s">
        <v>3248</v>
      </c>
      <c r="G134" s="0" t="s">
        <v>3539</v>
      </c>
    </row>
    <row customHeight="1" ht="11.25">
      <c r="A135" s="373" t="s">
        <v>14</v>
      </c>
      <c r="B135" s="0" t="s">
        <v>3525</v>
      </c>
      <c r="C135" s="0" t="s">
        <v>3526</v>
      </c>
      <c r="D135" s="0" t="s">
        <v>3540</v>
      </c>
      <c r="E135" s="0" t="s">
        <v>3541</v>
      </c>
      <c r="F135" s="0" t="s">
        <v>3209</v>
      </c>
      <c r="G135" s="0" t="s">
        <v>3542</v>
      </c>
    </row>
    <row customHeight="1" ht="11.25">
      <c r="A136" s="373" t="s">
        <v>14</v>
      </c>
      <c r="B136" s="0" t="s">
        <v>3525</v>
      </c>
      <c r="C136" s="0" t="s">
        <v>3526</v>
      </c>
      <c r="D136" s="0" t="s">
        <v>3543</v>
      </c>
      <c r="E136" s="0" t="s">
        <v>3544</v>
      </c>
      <c r="F136" s="0" t="s">
        <v>3209</v>
      </c>
      <c r="G136" s="0" t="s">
        <v>3545</v>
      </c>
    </row>
    <row customHeight="1" ht="11.25">
      <c r="A137" s="373" t="s">
        <v>14</v>
      </c>
      <c r="B137" s="0" t="s">
        <v>3525</v>
      </c>
      <c r="C137" s="0" t="s">
        <v>3526</v>
      </c>
      <c r="D137" s="0" t="s">
        <v>3279</v>
      </c>
      <c r="E137" s="0" t="s">
        <v>3546</v>
      </c>
      <c r="F137" s="0" t="s">
        <v>3209</v>
      </c>
      <c r="G137" s="0" t="s">
        <v>3547</v>
      </c>
    </row>
    <row customHeight="1" ht="11.25">
      <c r="A138" s="373" t="s">
        <v>14</v>
      </c>
      <c r="B138" s="0" t="s">
        <v>3525</v>
      </c>
      <c r="C138" s="0" t="s">
        <v>3526</v>
      </c>
      <c r="D138" s="0" t="s">
        <v>3548</v>
      </c>
      <c r="E138" s="0" t="s">
        <v>3549</v>
      </c>
      <c r="F138" s="0" t="s">
        <v>3209</v>
      </c>
      <c r="G138" s="0" t="s">
        <v>3550</v>
      </c>
    </row>
    <row customHeight="1" ht="11.25">
      <c r="A139" s="373" t="s">
        <v>14</v>
      </c>
      <c r="B139" s="0" t="s">
        <v>3525</v>
      </c>
      <c r="C139" s="0" t="s">
        <v>3526</v>
      </c>
      <c r="D139" s="0" t="s">
        <v>3551</v>
      </c>
      <c r="E139" s="0" t="s">
        <v>3552</v>
      </c>
      <c r="F139" s="0" t="s">
        <v>3209</v>
      </c>
      <c r="G139" s="0" t="s">
        <v>3553</v>
      </c>
    </row>
    <row customHeight="1" ht="11.25">
      <c r="A140" s="373" t="s">
        <v>14</v>
      </c>
      <c r="B140" s="0" t="s">
        <v>3554</v>
      </c>
      <c r="C140" s="0" t="s">
        <v>3555</v>
      </c>
      <c r="D140" s="0" t="s">
        <v>3556</v>
      </c>
      <c r="E140" s="0" t="s">
        <v>3557</v>
      </c>
      <c r="F140" s="0" t="s">
        <v>3209</v>
      </c>
      <c r="G140" s="0" t="s">
        <v>3558</v>
      </c>
    </row>
    <row customHeight="1" ht="11.25">
      <c r="A141" s="373" t="s">
        <v>14</v>
      </c>
      <c r="B141" s="0" t="s">
        <v>3554</v>
      </c>
      <c r="C141" s="0" t="s">
        <v>3555</v>
      </c>
      <c r="D141" s="0" t="s">
        <v>3559</v>
      </c>
      <c r="E141" s="0" t="s">
        <v>3560</v>
      </c>
      <c r="F141" s="0" t="s">
        <v>3209</v>
      </c>
      <c r="G141" s="0" t="s">
        <v>3561</v>
      </c>
    </row>
    <row customHeight="1" ht="11.25">
      <c r="A142" s="373" t="s">
        <v>14</v>
      </c>
      <c r="B142" s="0" t="s">
        <v>3554</v>
      </c>
      <c r="C142" s="0" t="s">
        <v>3555</v>
      </c>
      <c r="D142" s="0" t="s">
        <v>3562</v>
      </c>
      <c r="E142" s="0" t="s">
        <v>3563</v>
      </c>
      <c r="F142" s="0" t="s">
        <v>3209</v>
      </c>
      <c r="G142" s="0" t="s">
        <v>3564</v>
      </c>
    </row>
    <row customHeight="1" ht="11.25">
      <c r="A143" s="373" t="s">
        <v>14</v>
      </c>
      <c r="B143" s="0" t="s">
        <v>3554</v>
      </c>
      <c r="C143" s="0" t="s">
        <v>3555</v>
      </c>
      <c r="D143" s="0" t="s">
        <v>3554</v>
      </c>
      <c r="E143" s="0" t="s">
        <v>3555</v>
      </c>
      <c r="F143" s="0" t="s">
        <v>3206</v>
      </c>
      <c r="G143" s="0" t="s">
        <v>3565</v>
      </c>
    </row>
    <row customHeight="1" ht="11.25">
      <c r="A144" s="373" t="s">
        <v>14</v>
      </c>
      <c r="B144" s="0" t="s">
        <v>3554</v>
      </c>
      <c r="C144" s="0" t="s">
        <v>3555</v>
      </c>
      <c r="D144" s="0" t="s">
        <v>3566</v>
      </c>
      <c r="E144" s="0" t="s">
        <v>3567</v>
      </c>
      <c r="F144" s="0" t="s">
        <v>3209</v>
      </c>
      <c r="G144" s="0" t="s">
        <v>3568</v>
      </c>
    </row>
    <row customHeight="1" ht="11.25">
      <c r="A145" s="373" t="s">
        <v>14</v>
      </c>
      <c r="B145" s="0" t="s">
        <v>3554</v>
      </c>
      <c r="C145" s="0" t="s">
        <v>3555</v>
      </c>
      <c r="D145" s="0" t="s">
        <v>3569</v>
      </c>
      <c r="E145" s="0" t="s">
        <v>3570</v>
      </c>
      <c r="F145" s="0" t="s">
        <v>3209</v>
      </c>
      <c r="G145" s="0" t="s">
        <v>3571</v>
      </c>
    </row>
    <row customHeight="1" ht="11.25">
      <c r="A146" s="373" t="s">
        <v>14</v>
      </c>
      <c r="B146" s="0" t="s">
        <v>3554</v>
      </c>
      <c r="C146" s="0" t="s">
        <v>3555</v>
      </c>
      <c r="D146" s="0" t="s">
        <v>3572</v>
      </c>
      <c r="E146" s="0" t="s">
        <v>3573</v>
      </c>
      <c r="F146" s="0" t="s">
        <v>3209</v>
      </c>
      <c r="G146" s="0" t="s">
        <v>3574</v>
      </c>
    </row>
    <row customHeight="1" ht="11.25">
      <c r="A147" s="373" t="s">
        <v>14</v>
      </c>
      <c r="B147" s="0" t="s">
        <v>3554</v>
      </c>
      <c r="C147" s="0" t="s">
        <v>3555</v>
      </c>
      <c r="D147" s="0" t="s">
        <v>3575</v>
      </c>
      <c r="E147" s="0" t="s">
        <v>3576</v>
      </c>
      <c r="F147" s="0" t="s">
        <v>3209</v>
      </c>
      <c r="G147" s="0" t="s">
        <v>3577</v>
      </c>
    </row>
    <row customHeight="1" ht="11.25">
      <c r="A148" s="373" t="s">
        <v>14</v>
      </c>
      <c r="B148" s="0" t="s">
        <v>3554</v>
      </c>
      <c r="C148" s="0" t="s">
        <v>3555</v>
      </c>
      <c r="D148" s="0" t="s">
        <v>3257</v>
      </c>
      <c r="E148" s="0" t="s">
        <v>3578</v>
      </c>
      <c r="F148" s="0" t="s">
        <v>3209</v>
      </c>
      <c r="G148" s="0" t="s">
        <v>3579</v>
      </c>
    </row>
    <row customHeight="1" ht="11.25">
      <c r="A149" s="373" t="s">
        <v>14</v>
      </c>
      <c r="B149" s="0" t="s">
        <v>3554</v>
      </c>
      <c r="C149" s="0" t="s">
        <v>3555</v>
      </c>
      <c r="D149" s="0" t="s">
        <v>3580</v>
      </c>
      <c r="E149" s="0" t="s">
        <v>3581</v>
      </c>
      <c r="F149" s="0" t="s">
        <v>3209</v>
      </c>
      <c r="G149" s="0" t="s">
        <v>3582</v>
      </c>
    </row>
    <row customHeight="1" ht="11.25">
      <c r="A150" s="373" t="s">
        <v>14</v>
      </c>
      <c r="B150" s="0" t="s">
        <v>3554</v>
      </c>
      <c r="C150" s="0" t="s">
        <v>3555</v>
      </c>
      <c r="D150" s="0" t="s">
        <v>3583</v>
      </c>
      <c r="E150" s="0" t="s">
        <v>3584</v>
      </c>
      <c r="F150" s="0" t="s">
        <v>3209</v>
      </c>
      <c r="G150" s="0" t="s">
        <v>3585</v>
      </c>
    </row>
    <row customHeight="1" ht="11.25">
      <c r="A151" s="373" t="s">
        <v>14</v>
      </c>
      <c r="B151" s="0" t="s">
        <v>3554</v>
      </c>
      <c r="C151" s="0" t="s">
        <v>3555</v>
      </c>
      <c r="D151" s="0" t="s">
        <v>3586</v>
      </c>
      <c r="E151" s="0" t="s">
        <v>3587</v>
      </c>
      <c r="F151" s="0" t="s">
        <v>3209</v>
      </c>
      <c r="G151" s="0" t="s">
        <v>3588</v>
      </c>
    </row>
    <row customHeight="1" ht="11.25">
      <c r="A152" s="373" t="s">
        <v>14</v>
      </c>
      <c r="B152" s="0" t="s">
        <v>3589</v>
      </c>
      <c r="C152" s="0" t="s">
        <v>3590</v>
      </c>
      <c r="D152" s="0" t="s">
        <v>3591</v>
      </c>
      <c r="E152" s="0" t="s">
        <v>3592</v>
      </c>
      <c r="F152" s="0" t="s">
        <v>3209</v>
      </c>
      <c r="G152" s="0" t="s">
        <v>3593</v>
      </c>
    </row>
    <row customHeight="1" ht="11.25">
      <c r="A153" s="373" t="s">
        <v>14</v>
      </c>
      <c r="B153" s="0" t="s">
        <v>3589</v>
      </c>
      <c r="C153" s="0" t="s">
        <v>3590</v>
      </c>
      <c r="D153" s="0" t="s">
        <v>3589</v>
      </c>
      <c r="E153" s="0" t="s">
        <v>3590</v>
      </c>
      <c r="F153" s="0" t="s">
        <v>3206</v>
      </c>
      <c r="G153" s="0" t="s">
        <v>3594</v>
      </c>
    </row>
    <row customHeight="1" ht="11.25">
      <c r="A154" s="373" t="s">
        <v>14</v>
      </c>
      <c r="B154" s="0" t="s">
        <v>3589</v>
      </c>
      <c r="C154" s="0" t="s">
        <v>3590</v>
      </c>
      <c r="D154" s="0" t="s">
        <v>3216</v>
      </c>
      <c r="E154" s="0" t="s">
        <v>3595</v>
      </c>
      <c r="F154" s="0" t="s">
        <v>3209</v>
      </c>
      <c r="G154" s="0" t="s">
        <v>3596</v>
      </c>
    </row>
    <row customHeight="1" ht="11.25">
      <c r="A155" s="373" t="s">
        <v>14</v>
      </c>
      <c r="B155" s="0" t="s">
        <v>3589</v>
      </c>
      <c r="C155" s="0" t="s">
        <v>3590</v>
      </c>
      <c r="D155" s="0" t="s">
        <v>3597</v>
      </c>
      <c r="E155" s="0" t="s">
        <v>3598</v>
      </c>
      <c r="F155" s="0" t="s">
        <v>3209</v>
      </c>
      <c r="G155" s="0" t="s">
        <v>3599</v>
      </c>
    </row>
    <row customHeight="1" ht="11.25">
      <c r="A156" s="373" t="s">
        <v>14</v>
      </c>
      <c r="B156" s="0" t="s">
        <v>3589</v>
      </c>
      <c r="C156" s="0" t="s">
        <v>3590</v>
      </c>
      <c r="D156" s="0" t="s">
        <v>3572</v>
      </c>
      <c r="E156" s="0" t="s">
        <v>3600</v>
      </c>
      <c r="F156" s="0" t="s">
        <v>3209</v>
      </c>
      <c r="G156" s="0" t="s">
        <v>3601</v>
      </c>
    </row>
    <row customHeight="1" ht="11.25">
      <c r="A157" s="373" t="s">
        <v>14</v>
      </c>
      <c r="B157" s="0" t="s">
        <v>3589</v>
      </c>
      <c r="C157" s="0" t="s">
        <v>3590</v>
      </c>
      <c r="D157" s="0" t="s">
        <v>3602</v>
      </c>
      <c r="E157" s="0" t="s">
        <v>3603</v>
      </c>
      <c r="F157" s="0" t="s">
        <v>3209</v>
      </c>
      <c r="G157" s="0" t="s">
        <v>3604</v>
      </c>
    </row>
    <row customHeight="1" ht="11.25">
      <c r="A158" s="373" t="s">
        <v>14</v>
      </c>
      <c r="B158" s="0" t="s">
        <v>3589</v>
      </c>
      <c r="C158" s="0" t="s">
        <v>3590</v>
      </c>
      <c r="D158" s="0" t="s">
        <v>3605</v>
      </c>
      <c r="E158" s="0" t="s">
        <v>3606</v>
      </c>
      <c r="F158" s="0" t="s">
        <v>3209</v>
      </c>
      <c r="G158" s="0" t="s">
        <v>3607</v>
      </c>
    </row>
    <row customHeight="1" ht="11.25">
      <c r="A159" s="373" t="s">
        <v>14</v>
      </c>
      <c r="B159" s="0" t="s">
        <v>3589</v>
      </c>
      <c r="C159" s="0" t="s">
        <v>3590</v>
      </c>
      <c r="D159" s="0" t="s">
        <v>3608</v>
      </c>
      <c r="E159" s="0" t="s">
        <v>3609</v>
      </c>
      <c r="F159" s="0" t="s">
        <v>3209</v>
      </c>
      <c r="G159" s="0" t="s">
        <v>3610</v>
      </c>
    </row>
    <row customHeight="1" ht="11.25">
      <c r="A160" s="373" t="s">
        <v>14</v>
      </c>
      <c r="B160" s="0" t="s">
        <v>3589</v>
      </c>
      <c r="C160" s="0" t="s">
        <v>3590</v>
      </c>
      <c r="D160" s="0" t="s">
        <v>3611</v>
      </c>
      <c r="E160" s="0" t="s">
        <v>3612</v>
      </c>
      <c r="F160" s="0" t="s">
        <v>3209</v>
      </c>
      <c r="G160" s="0" t="s">
        <v>3613</v>
      </c>
    </row>
    <row customHeight="1" ht="11.25">
      <c r="A161" s="373" t="s">
        <v>14</v>
      </c>
      <c r="B161" s="0" t="s">
        <v>3614</v>
      </c>
      <c r="C161" s="0" t="s">
        <v>3615</v>
      </c>
      <c r="D161" s="0" t="s">
        <v>3616</v>
      </c>
      <c r="E161" s="0" t="s">
        <v>3617</v>
      </c>
      <c r="F161" s="0" t="s">
        <v>3209</v>
      </c>
      <c r="G161" s="0" t="s">
        <v>3618</v>
      </c>
    </row>
    <row customHeight="1" ht="11.25">
      <c r="A162" s="373" t="s">
        <v>14</v>
      </c>
      <c r="B162" s="0" t="s">
        <v>3614</v>
      </c>
      <c r="C162" s="0" t="s">
        <v>3615</v>
      </c>
      <c r="D162" s="0" t="s">
        <v>3619</v>
      </c>
      <c r="E162" s="0" t="s">
        <v>3620</v>
      </c>
      <c r="F162" s="0" t="s">
        <v>3209</v>
      </c>
      <c r="G162" s="0" t="s">
        <v>3621</v>
      </c>
    </row>
    <row customHeight="1" ht="11.25">
      <c r="A163" s="373" t="s">
        <v>14</v>
      </c>
      <c r="B163" s="0" t="s">
        <v>3614</v>
      </c>
      <c r="C163" s="0" t="s">
        <v>3615</v>
      </c>
      <c r="D163" s="0" t="s">
        <v>3622</v>
      </c>
      <c r="E163" s="0" t="s">
        <v>3623</v>
      </c>
      <c r="F163" s="0" t="s">
        <v>3209</v>
      </c>
      <c r="G163" s="0" t="s">
        <v>3624</v>
      </c>
    </row>
    <row customHeight="1" ht="11.25">
      <c r="A164" s="373" t="s">
        <v>14</v>
      </c>
      <c r="B164" s="0" t="s">
        <v>3614</v>
      </c>
      <c r="C164" s="0" t="s">
        <v>3615</v>
      </c>
      <c r="D164" s="0" t="s">
        <v>3625</v>
      </c>
      <c r="E164" s="0" t="s">
        <v>3626</v>
      </c>
      <c r="F164" s="0" t="s">
        <v>3627</v>
      </c>
      <c r="G164" s="0" t="s">
        <v>3628</v>
      </c>
    </row>
    <row customHeight="1" ht="11.25">
      <c r="A165" s="373" t="s">
        <v>14</v>
      </c>
      <c r="B165" s="0" t="s">
        <v>3614</v>
      </c>
      <c r="C165" s="0" t="s">
        <v>3615</v>
      </c>
      <c r="D165" s="0" t="s">
        <v>3629</v>
      </c>
      <c r="E165" s="0" t="s">
        <v>3630</v>
      </c>
      <c r="F165" s="0" t="s">
        <v>3209</v>
      </c>
      <c r="G165" s="0" t="s">
        <v>3631</v>
      </c>
    </row>
    <row customHeight="1" ht="11.25">
      <c r="A166" s="373" t="s">
        <v>14</v>
      </c>
      <c r="B166" s="0" t="s">
        <v>3614</v>
      </c>
      <c r="C166" s="0" t="s">
        <v>3615</v>
      </c>
      <c r="D166" s="0" t="s">
        <v>3632</v>
      </c>
      <c r="E166" s="0" t="s">
        <v>3633</v>
      </c>
      <c r="F166" s="0" t="s">
        <v>3209</v>
      </c>
      <c r="G166" s="0" t="s">
        <v>3634</v>
      </c>
    </row>
    <row customHeight="1" ht="11.25">
      <c r="A167" s="373" t="s">
        <v>14</v>
      </c>
      <c r="B167" s="0" t="s">
        <v>3614</v>
      </c>
      <c r="C167" s="0" t="s">
        <v>3615</v>
      </c>
      <c r="D167" s="0" t="s">
        <v>3635</v>
      </c>
      <c r="E167" s="0" t="s">
        <v>3636</v>
      </c>
      <c r="F167" s="0" t="s">
        <v>3209</v>
      </c>
      <c r="G167" s="0" t="s">
        <v>3637</v>
      </c>
    </row>
    <row customHeight="1" ht="11.25">
      <c r="A168" s="373" t="s">
        <v>14</v>
      </c>
      <c r="B168" s="0" t="s">
        <v>3614</v>
      </c>
      <c r="C168" s="0" t="s">
        <v>3615</v>
      </c>
      <c r="D168" s="0" t="s">
        <v>3614</v>
      </c>
      <c r="E168" s="0" t="s">
        <v>3615</v>
      </c>
      <c r="F168" s="0" t="s">
        <v>3206</v>
      </c>
      <c r="G168" s="0" t="s">
        <v>3638</v>
      </c>
    </row>
    <row customHeight="1" ht="11.25">
      <c r="A169" s="373" t="s">
        <v>14</v>
      </c>
      <c r="B169" s="0" t="s">
        <v>3614</v>
      </c>
      <c r="C169" s="0" t="s">
        <v>3615</v>
      </c>
      <c r="D169" s="0" t="s">
        <v>3639</v>
      </c>
      <c r="E169" s="0" t="s">
        <v>3640</v>
      </c>
      <c r="F169" s="0" t="s">
        <v>3209</v>
      </c>
      <c r="G169" s="0" t="s">
        <v>3641</v>
      </c>
    </row>
    <row customHeight="1" ht="11.25">
      <c r="A170" s="373" t="s">
        <v>14</v>
      </c>
      <c r="B170" s="0" t="s">
        <v>3614</v>
      </c>
      <c r="C170" s="0" t="s">
        <v>3615</v>
      </c>
      <c r="D170" s="0" t="s">
        <v>3642</v>
      </c>
      <c r="E170" s="0" t="s">
        <v>3643</v>
      </c>
      <c r="F170" s="0" t="s">
        <v>3209</v>
      </c>
      <c r="G170" s="0" t="s">
        <v>3644</v>
      </c>
    </row>
    <row customHeight="1" ht="11.25">
      <c r="A171" s="373" t="s">
        <v>14</v>
      </c>
      <c r="B171" s="0" t="s">
        <v>3614</v>
      </c>
      <c r="C171" s="0" t="s">
        <v>3615</v>
      </c>
      <c r="D171" s="0" t="s">
        <v>3645</v>
      </c>
      <c r="E171" s="0" t="s">
        <v>3646</v>
      </c>
      <c r="F171" s="0" t="s">
        <v>3209</v>
      </c>
      <c r="G171" s="0" t="s">
        <v>3647</v>
      </c>
    </row>
    <row customHeight="1" ht="11.25">
      <c r="A172" s="373" t="s">
        <v>14</v>
      </c>
      <c r="B172" s="0" t="s">
        <v>3614</v>
      </c>
      <c r="C172" s="0" t="s">
        <v>3615</v>
      </c>
      <c r="D172" s="0" t="s">
        <v>3648</v>
      </c>
      <c r="E172" s="0" t="s">
        <v>3649</v>
      </c>
      <c r="F172" s="0" t="s">
        <v>3209</v>
      </c>
      <c r="G172" s="0" t="s">
        <v>3650</v>
      </c>
    </row>
    <row customHeight="1" ht="11.25">
      <c r="A173" s="373" t="s">
        <v>14</v>
      </c>
      <c r="B173" s="0" t="s">
        <v>3614</v>
      </c>
      <c r="C173" s="0" t="s">
        <v>3615</v>
      </c>
      <c r="D173" s="0" t="s">
        <v>3651</v>
      </c>
      <c r="E173" s="0" t="s">
        <v>3652</v>
      </c>
      <c r="F173" s="0" t="s">
        <v>3209</v>
      </c>
      <c r="G173" s="0" t="s">
        <v>3653</v>
      </c>
    </row>
    <row customHeight="1" ht="11.25">
      <c r="A174" s="373" t="s">
        <v>14</v>
      </c>
      <c r="B174" s="0" t="s">
        <v>3654</v>
      </c>
      <c r="C174" s="0" t="s">
        <v>3655</v>
      </c>
      <c r="D174" s="0" t="s">
        <v>3656</v>
      </c>
      <c r="E174" s="0" t="s">
        <v>3657</v>
      </c>
      <c r="F174" s="0" t="s">
        <v>3209</v>
      </c>
      <c r="G174" s="0" t="s">
        <v>3658</v>
      </c>
    </row>
    <row customHeight="1" ht="11.25">
      <c r="A175" s="373" t="s">
        <v>14</v>
      </c>
      <c r="B175" s="0" t="s">
        <v>3654</v>
      </c>
      <c r="C175" s="0" t="s">
        <v>3655</v>
      </c>
      <c r="D175" s="0" t="s">
        <v>3659</v>
      </c>
      <c r="E175" s="0" t="s">
        <v>3660</v>
      </c>
      <c r="F175" s="0" t="s">
        <v>3209</v>
      </c>
      <c r="G175" s="0" t="s">
        <v>3661</v>
      </c>
    </row>
    <row customHeight="1" ht="11.25">
      <c r="A176" s="373" t="s">
        <v>14</v>
      </c>
      <c r="B176" s="0" t="s">
        <v>3654</v>
      </c>
      <c r="C176" s="0" t="s">
        <v>3655</v>
      </c>
      <c r="D176" s="0" t="s">
        <v>3662</v>
      </c>
      <c r="E176" s="0" t="s">
        <v>3663</v>
      </c>
      <c r="F176" s="0" t="s">
        <v>3209</v>
      </c>
      <c r="G176" s="0" t="s">
        <v>3664</v>
      </c>
    </row>
    <row customHeight="1" ht="11.25">
      <c r="A177" s="373" t="s">
        <v>14</v>
      </c>
      <c r="B177" s="0" t="s">
        <v>3654</v>
      </c>
      <c r="C177" s="0" t="s">
        <v>3655</v>
      </c>
      <c r="D177" s="0" t="s">
        <v>3665</v>
      </c>
      <c r="E177" s="0" t="s">
        <v>3666</v>
      </c>
      <c r="F177" s="0" t="s">
        <v>3209</v>
      </c>
      <c r="G177" s="0" t="s">
        <v>3667</v>
      </c>
    </row>
    <row customHeight="1" ht="11.25">
      <c r="A178" s="373" t="s">
        <v>14</v>
      </c>
      <c r="B178" s="0" t="s">
        <v>3654</v>
      </c>
      <c r="C178" s="0" t="s">
        <v>3655</v>
      </c>
      <c r="D178" s="0" t="s">
        <v>3654</v>
      </c>
      <c r="E178" s="0" t="s">
        <v>3655</v>
      </c>
      <c r="F178" s="0" t="s">
        <v>3206</v>
      </c>
      <c r="G178" s="0" t="s">
        <v>3668</v>
      </c>
    </row>
    <row customHeight="1" ht="11.25">
      <c r="A179" s="373" t="s">
        <v>14</v>
      </c>
      <c r="B179" s="0" t="s">
        <v>3654</v>
      </c>
      <c r="C179" s="0" t="s">
        <v>3655</v>
      </c>
      <c r="D179" s="0" t="s">
        <v>3669</v>
      </c>
      <c r="E179" s="0" t="s">
        <v>3670</v>
      </c>
      <c r="F179" s="0" t="s">
        <v>3209</v>
      </c>
      <c r="G179" s="0" t="s">
        <v>3671</v>
      </c>
    </row>
    <row customHeight="1" ht="11.25">
      <c r="A180" s="373" t="s">
        <v>14</v>
      </c>
      <c r="B180" s="0" t="s">
        <v>3654</v>
      </c>
      <c r="C180" s="0" t="s">
        <v>3655</v>
      </c>
      <c r="D180" s="0" t="s">
        <v>3672</v>
      </c>
      <c r="E180" s="0" t="s">
        <v>3673</v>
      </c>
      <c r="F180" s="0" t="s">
        <v>3209</v>
      </c>
      <c r="G180" s="0" t="s">
        <v>3674</v>
      </c>
    </row>
    <row customHeight="1" ht="11.25">
      <c r="A181" s="373" t="s">
        <v>14</v>
      </c>
      <c r="B181" s="0" t="s">
        <v>3654</v>
      </c>
      <c r="C181" s="0" t="s">
        <v>3655</v>
      </c>
      <c r="D181" s="0" t="s">
        <v>3675</v>
      </c>
      <c r="E181" s="0" t="s">
        <v>3676</v>
      </c>
      <c r="F181" s="0" t="s">
        <v>3209</v>
      </c>
      <c r="G181" s="0" t="s">
        <v>3677</v>
      </c>
    </row>
    <row customHeight="1" ht="11.25">
      <c r="A182" s="373" t="s">
        <v>14</v>
      </c>
      <c r="B182" s="0" t="s">
        <v>3654</v>
      </c>
      <c r="C182" s="0" t="s">
        <v>3655</v>
      </c>
      <c r="D182" s="0" t="s">
        <v>3678</v>
      </c>
      <c r="E182" s="0" t="s">
        <v>3679</v>
      </c>
      <c r="F182" s="0" t="s">
        <v>3209</v>
      </c>
      <c r="G182" s="0" t="s">
        <v>3680</v>
      </c>
    </row>
    <row customHeight="1" ht="11.25">
      <c r="A183" s="373" t="s">
        <v>14</v>
      </c>
      <c r="B183" s="0" t="s">
        <v>3654</v>
      </c>
      <c r="C183" s="0" t="s">
        <v>3655</v>
      </c>
      <c r="D183" s="0" t="s">
        <v>3681</v>
      </c>
      <c r="E183" s="0" t="s">
        <v>3682</v>
      </c>
      <c r="F183" s="0" t="s">
        <v>3209</v>
      </c>
      <c r="G183" s="0" t="s">
        <v>3683</v>
      </c>
    </row>
    <row customHeight="1" ht="11.25">
      <c r="A184" s="373" t="s">
        <v>14</v>
      </c>
      <c r="B184" s="0" t="s">
        <v>3654</v>
      </c>
      <c r="C184" s="0" t="s">
        <v>3655</v>
      </c>
      <c r="D184" s="0" t="s">
        <v>3684</v>
      </c>
      <c r="E184" s="0" t="s">
        <v>3685</v>
      </c>
      <c r="F184" s="0" t="s">
        <v>3209</v>
      </c>
      <c r="G184" s="0" t="s">
        <v>3686</v>
      </c>
    </row>
    <row customHeight="1" ht="11.25">
      <c r="A185" s="373" t="s">
        <v>14</v>
      </c>
      <c r="B185" s="0" t="s">
        <v>3687</v>
      </c>
      <c r="C185" s="0" t="s">
        <v>3688</v>
      </c>
      <c r="D185" s="0" t="s">
        <v>3689</v>
      </c>
      <c r="E185" s="0" t="s">
        <v>3690</v>
      </c>
      <c r="F185" s="0" t="s">
        <v>3209</v>
      </c>
      <c r="G185" s="0" t="s">
        <v>3691</v>
      </c>
    </row>
    <row customHeight="1" ht="11.25">
      <c r="A186" s="373" t="s">
        <v>14</v>
      </c>
      <c r="B186" s="0" t="s">
        <v>3687</v>
      </c>
      <c r="C186" s="0" t="s">
        <v>3688</v>
      </c>
      <c r="D186" s="0" t="s">
        <v>3692</v>
      </c>
      <c r="E186" s="0" t="s">
        <v>3693</v>
      </c>
      <c r="F186" s="0" t="s">
        <v>3209</v>
      </c>
      <c r="G186" s="0" t="s">
        <v>3694</v>
      </c>
    </row>
    <row customHeight="1" ht="11.25">
      <c r="A187" s="373" t="s">
        <v>14</v>
      </c>
      <c r="B187" s="0" t="s">
        <v>3687</v>
      </c>
      <c r="C187" s="0" t="s">
        <v>3688</v>
      </c>
      <c r="D187" s="0" t="s">
        <v>3695</v>
      </c>
      <c r="E187" s="0" t="s">
        <v>3696</v>
      </c>
      <c r="F187" s="0" t="s">
        <v>3209</v>
      </c>
      <c r="G187" s="0" t="s">
        <v>3697</v>
      </c>
    </row>
    <row customHeight="1" ht="11.25">
      <c r="A188" s="373" t="s">
        <v>14</v>
      </c>
      <c r="B188" s="0" t="s">
        <v>3687</v>
      </c>
      <c r="C188" s="0" t="s">
        <v>3688</v>
      </c>
      <c r="D188" s="0" t="s">
        <v>3687</v>
      </c>
      <c r="E188" s="0" t="s">
        <v>3688</v>
      </c>
      <c r="F188" s="0" t="s">
        <v>3206</v>
      </c>
      <c r="G188" s="0" t="s">
        <v>3698</v>
      </c>
    </row>
    <row customHeight="1" ht="11.25">
      <c r="A189" s="373" t="s">
        <v>14</v>
      </c>
      <c r="B189" s="0" t="s">
        <v>3687</v>
      </c>
      <c r="C189" s="0" t="s">
        <v>3688</v>
      </c>
      <c r="D189" s="0" t="s">
        <v>3699</v>
      </c>
      <c r="E189" s="0" t="s">
        <v>3700</v>
      </c>
      <c r="F189" s="0" t="s">
        <v>3248</v>
      </c>
      <c r="G189" s="0" t="s">
        <v>3701</v>
      </c>
    </row>
    <row customHeight="1" ht="11.25">
      <c r="A190" s="373" t="s">
        <v>14</v>
      </c>
      <c r="B190" s="0" t="s">
        <v>3687</v>
      </c>
      <c r="C190" s="0" t="s">
        <v>3688</v>
      </c>
      <c r="D190" s="0" t="s">
        <v>3702</v>
      </c>
      <c r="E190" s="0" t="s">
        <v>3703</v>
      </c>
      <c r="F190" s="0" t="s">
        <v>3209</v>
      </c>
      <c r="G190" s="0" t="s">
        <v>3704</v>
      </c>
    </row>
    <row customHeight="1" ht="11.25">
      <c r="A191" s="373" t="s">
        <v>14</v>
      </c>
      <c r="B191" s="0" t="s">
        <v>3687</v>
      </c>
      <c r="C191" s="0" t="s">
        <v>3688</v>
      </c>
      <c r="D191" s="0" t="s">
        <v>3705</v>
      </c>
      <c r="E191" s="0" t="s">
        <v>3706</v>
      </c>
      <c r="F191" s="0" t="s">
        <v>3209</v>
      </c>
      <c r="G191" s="0" t="s">
        <v>3707</v>
      </c>
    </row>
    <row customHeight="1" ht="11.25">
      <c r="A192" s="373" t="s">
        <v>14</v>
      </c>
      <c r="B192" s="0" t="s">
        <v>3687</v>
      </c>
      <c r="C192" s="0" t="s">
        <v>3688</v>
      </c>
      <c r="D192" s="0" t="s">
        <v>3708</v>
      </c>
      <c r="E192" s="0" t="s">
        <v>3709</v>
      </c>
      <c r="F192" s="0" t="s">
        <v>3209</v>
      </c>
      <c r="G192" s="0" t="s">
        <v>3710</v>
      </c>
    </row>
    <row customHeight="1" ht="11.25">
      <c r="A193" s="373" t="s">
        <v>14</v>
      </c>
      <c r="B193" s="0" t="s">
        <v>3711</v>
      </c>
      <c r="C193" s="0" t="s">
        <v>3712</v>
      </c>
      <c r="D193" s="0" t="s">
        <v>3713</v>
      </c>
      <c r="E193" s="0" t="s">
        <v>3714</v>
      </c>
      <c r="F193" s="0" t="s">
        <v>3209</v>
      </c>
      <c r="G193" s="0" t="s">
        <v>3715</v>
      </c>
    </row>
    <row customHeight="1" ht="11.25">
      <c r="A194" s="373" t="s">
        <v>14</v>
      </c>
      <c r="B194" s="0" t="s">
        <v>3711</v>
      </c>
      <c r="C194" s="0" t="s">
        <v>3712</v>
      </c>
      <c r="D194" s="0" t="s">
        <v>3716</v>
      </c>
      <c r="E194" s="0" t="s">
        <v>3717</v>
      </c>
      <c r="F194" s="0" t="s">
        <v>3209</v>
      </c>
      <c r="G194" s="0" t="s">
        <v>3718</v>
      </c>
    </row>
    <row customHeight="1" ht="11.25">
      <c r="A195" s="373" t="s">
        <v>14</v>
      </c>
      <c r="B195" s="0" t="s">
        <v>3711</v>
      </c>
      <c r="C195" s="0" t="s">
        <v>3712</v>
      </c>
      <c r="D195" s="0" t="s">
        <v>3719</v>
      </c>
      <c r="E195" s="0" t="s">
        <v>3720</v>
      </c>
      <c r="F195" s="0" t="s">
        <v>3248</v>
      </c>
      <c r="G195" s="0" t="s">
        <v>3721</v>
      </c>
    </row>
    <row customHeight="1" ht="11.25">
      <c r="A196" s="373" t="s">
        <v>14</v>
      </c>
      <c r="B196" s="0" t="s">
        <v>3711</v>
      </c>
      <c r="C196" s="0" t="s">
        <v>3712</v>
      </c>
      <c r="D196" s="0" t="s">
        <v>3722</v>
      </c>
      <c r="E196" s="0" t="s">
        <v>3723</v>
      </c>
      <c r="F196" s="0" t="s">
        <v>3209</v>
      </c>
      <c r="G196" s="0" t="s">
        <v>3724</v>
      </c>
    </row>
    <row customHeight="1" ht="11.25">
      <c r="A197" s="373" t="s">
        <v>14</v>
      </c>
      <c r="B197" s="0" t="s">
        <v>3711</v>
      </c>
      <c r="C197" s="0" t="s">
        <v>3712</v>
      </c>
      <c r="D197" s="0" t="s">
        <v>3725</v>
      </c>
      <c r="E197" s="0" t="s">
        <v>3726</v>
      </c>
      <c r="F197" s="0" t="s">
        <v>3209</v>
      </c>
      <c r="G197" s="0" t="s">
        <v>3727</v>
      </c>
    </row>
    <row customHeight="1" ht="11.25">
      <c r="A198" s="373" t="s">
        <v>14</v>
      </c>
      <c r="B198" s="0" t="s">
        <v>3711</v>
      </c>
      <c r="C198" s="0" t="s">
        <v>3712</v>
      </c>
      <c r="D198" s="0" t="s">
        <v>3501</v>
      </c>
      <c r="E198" s="0" t="s">
        <v>3728</v>
      </c>
      <c r="F198" s="0" t="s">
        <v>3209</v>
      </c>
      <c r="G198" s="0" t="s">
        <v>3729</v>
      </c>
    </row>
    <row customHeight="1" ht="11.25">
      <c r="A199" s="373" t="s">
        <v>14</v>
      </c>
      <c r="B199" s="0" t="s">
        <v>3711</v>
      </c>
      <c r="C199" s="0" t="s">
        <v>3712</v>
      </c>
      <c r="D199" s="0" t="s">
        <v>3730</v>
      </c>
      <c r="E199" s="0" t="s">
        <v>3731</v>
      </c>
      <c r="F199" s="0" t="s">
        <v>3209</v>
      </c>
      <c r="G199" s="0" t="s">
        <v>3732</v>
      </c>
    </row>
    <row customHeight="1" ht="11.25">
      <c r="A200" s="373" t="s">
        <v>14</v>
      </c>
      <c r="B200" s="0" t="s">
        <v>3711</v>
      </c>
      <c r="C200" s="0" t="s">
        <v>3712</v>
      </c>
      <c r="D200" s="0" t="s">
        <v>3449</v>
      </c>
      <c r="E200" s="0" t="s">
        <v>3733</v>
      </c>
      <c r="F200" s="0" t="s">
        <v>3209</v>
      </c>
      <c r="G200" s="0" t="s">
        <v>3734</v>
      </c>
    </row>
    <row customHeight="1" ht="11.25">
      <c r="A201" s="373" t="s">
        <v>14</v>
      </c>
      <c r="B201" s="0" t="s">
        <v>3711</v>
      </c>
      <c r="C201" s="0" t="s">
        <v>3712</v>
      </c>
      <c r="D201" s="0" t="s">
        <v>3711</v>
      </c>
      <c r="E201" s="0" t="s">
        <v>3712</v>
      </c>
      <c r="F201" s="0" t="s">
        <v>3206</v>
      </c>
      <c r="G201" s="0" t="s">
        <v>3735</v>
      </c>
    </row>
    <row customHeight="1" ht="11.25">
      <c r="A202" s="373" t="s">
        <v>14</v>
      </c>
      <c r="B202" s="0" t="s">
        <v>3711</v>
      </c>
      <c r="C202" s="0" t="s">
        <v>3712</v>
      </c>
      <c r="D202" s="0" t="s">
        <v>3736</v>
      </c>
      <c r="E202" s="0" t="s">
        <v>3737</v>
      </c>
      <c r="F202" s="0" t="s">
        <v>3248</v>
      </c>
      <c r="G202" s="0" t="s">
        <v>3738</v>
      </c>
    </row>
    <row customHeight="1" ht="11.25">
      <c r="A203" s="373" t="s">
        <v>14</v>
      </c>
      <c r="B203" s="0" t="s">
        <v>3711</v>
      </c>
      <c r="C203" s="0" t="s">
        <v>3712</v>
      </c>
      <c r="D203" s="0" t="s">
        <v>3739</v>
      </c>
      <c r="E203" s="0" t="s">
        <v>3740</v>
      </c>
      <c r="F203" s="0" t="s">
        <v>3209</v>
      </c>
      <c r="G203" s="0" t="s">
        <v>3741</v>
      </c>
    </row>
    <row customHeight="1" ht="11.25">
      <c r="A204" s="373" t="s">
        <v>14</v>
      </c>
      <c r="B204" s="0" t="s">
        <v>3711</v>
      </c>
      <c r="C204" s="0" t="s">
        <v>3712</v>
      </c>
      <c r="D204" s="0" t="s">
        <v>3742</v>
      </c>
      <c r="E204" s="0" t="s">
        <v>3743</v>
      </c>
      <c r="F204" s="0" t="s">
        <v>3209</v>
      </c>
      <c r="G204" s="0" t="s">
        <v>3744</v>
      </c>
    </row>
    <row customHeight="1" ht="11.25">
      <c r="A205" s="373" t="s">
        <v>14</v>
      </c>
      <c r="B205" s="0" t="s">
        <v>3711</v>
      </c>
      <c r="C205" s="0" t="s">
        <v>3712</v>
      </c>
      <c r="D205" s="0" t="s">
        <v>3745</v>
      </c>
      <c r="E205" s="0" t="s">
        <v>3746</v>
      </c>
      <c r="F205" s="0" t="s">
        <v>3209</v>
      </c>
      <c r="G205" s="0" t="s">
        <v>3747</v>
      </c>
    </row>
    <row customHeight="1" ht="11.25">
      <c r="A206" s="373" t="s">
        <v>14</v>
      </c>
      <c r="B206" s="0" t="s">
        <v>3711</v>
      </c>
      <c r="C206" s="0" t="s">
        <v>3712</v>
      </c>
      <c r="D206" s="0" t="s">
        <v>3748</v>
      </c>
      <c r="E206" s="0" t="s">
        <v>3749</v>
      </c>
      <c r="F206" s="0" t="s">
        <v>3209</v>
      </c>
      <c r="G206" s="0" t="s">
        <v>3750</v>
      </c>
    </row>
    <row customHeight="1" ht="11.25">
      <c r="A207" s="373" t="s">
        <v>14</v>
      </c>
      <c r="B207" s="0" t="s">
        <v>3711</v>
      </c>
      <c r="C207" s="0" t="s">
        <v>3712</v>
      </c>
      <c r="D207" s="0" t="s">
        <v>3751</v>
      </c>
      <c r="E207" s="0" t="s">
        <v>3752</v>
      </c>
      <c r="F207" s="0" t="s">
        <v>3627</v>
      </c>
      <c r="G207" s="0" t="s">
        <v>3753</v>
      </c>
    </row>
    <row customHeight="1" ht="11.25">
      <c r="A208" s="373" t="s">
        <v>14</v>
      </c>
      <c r="B208" s="0" t="s">
        <v>3711</v>
      </c>
      <c r="C208" s="0" t="s">
        <v>3712</v>
      </c>
      <c r="D208" s="0" t="s">
        <v>3754</v>
      </c>
      <c r="E208" s="0" t="s">
        <v>3755</v>
      </c>
      <c r="F208" s="0" t="s">
        <v>3209</v>
      </c>
      <c r="G208" s="0" t="s">
        <v>3756</v>
      </c>
    </row>
    <row customHeight="1" ht="11.25">
      <c r="A209" s="373" t="s">
        <v>14</v>
      </c>
      <c r="B209" s="0" t="s">
        <v>3757</v>
      </c>
      <c r="C209" s="0" t="s">
        <v>3758</v>
      </c>
      <c r="D209" s="0" t="s">
        <v>3759</v>
      </c>
      <c r="E209" s="0" t="s">
        <v>3760</v>
      </c>
      <c r="F209" s="0" t="s">
        <v>3209</v>
      </c>
      <c r="G209" s="0" t="s">
        <v>3761</v>
      </c>
    </row>
    <row customHeight="1" ht="11.25">
      <c r="A210" s="373" t="s">
        <v>14</v>
      </c>
      <c r="B210" s="0" t="s">
        <v>3757</v>
      </c>
      <c r="C210" s="0" t="s">
        <v>3758</v>
      </c>
      <c r="D210" s="0" t="s">
        <v>3757</v>
      </c>
      <c r="E210" s="0" t="s">
        <v>3758</v>
      </c>
      <c r="F210" s="0" t="s">
        <v>3206</v>
      </c>
      <c r="G210" s="0" t="s">
        <v>3762</v>
      </c>
    </row>
    <row customHeight="1" ht="11.25">
      <c r="A211" s="373" t="s">
        <v>14</v>
      </c>
      <c r="B211" s="0" t="s">
        <v>3757</v>
      </c>
      <c r="C211" s="0" t="s">
        <v>3758</v>
      </c>
      <c r="D211" s="0" t="s">
        <v>3763</v>
      </c>
      <c r="E211" s="0" t="s">
        <v>3764</v>
      </c>
      <c r="F211" s="0" t="s">
        <v>3209</v>
      </c>
      <c r="G211" s="0" t="s">
        <v>3765</v>
      </c>
    </row>
    <row customHeight="1" ht="11.25">
      <c r="A212" s="373" t="s">
        <v>14</v>
      </c>
      <c r="B212" s="0" t="s">
        <v>3757</v>
      </c>
      <c r="C212" s="0" t="s">
        <v>3758</v>
      </c>
      <c r="D212" s="0" t="s">
        <v>3766</v>
      </c>
      <c r="E212" s="0" t="s">
        <v>3767</v>
      </c>
      <c r="F212" s="0" t="s">
        <v>3209</v>
      </c>
      <c r="G212" s="0" t="s">
        <v>3768</v>
      </c>
    </row>
    <row customHeight="1" ht="11.25">
      <c r="A213" s="373" t="s">
        <v>14</v>
      </c>
      <c r="B213" s="0" t="s">
        <v>3769</v>
      </c>
      <c r="C213" s="0" t="s">
        <v>3770</v>
      </c>
      <c r="D213" s="0" t="s">
        <v>3771</v>
      </c>
      <c r="E213" s="0" t="s">
        <v>3772</v>
      </c>
      <c r="F213" s="0" t="s">
        <v>3209</v>
      </c>
      <c r="G213" s="0" t="s">
        <v>3773</v>
      </c>
    </row>
    <row customHeight="1" ht="11.25">
      <c r="A214" s="373" t="s">
        <v>14</v>
      </c>
      <c r="B214" s="0" t="s">
        <v>3769</v>
      </c>
      <c r="C214" s="0" t="s">
        <v>3770</v>
      </c>
      <c r="D214" s="0" t="s">
        <v>3774</v>
      </c>
      <c r="E214" s="0" t="s">
        <v>3775</v>
      </c>
      <c r="F214" s="0" t="s">
        <v>3209</v>
      </c>
      <c r="G214" s="0" t="s">
        <v>3776</v>
      </c>
    </row>
    <row customHeight="1" ht="11.25">
      <c r="A215" s="373" t="s">
        <v>14</v>
      </c>
      <c r="B215" s="0" t="s">
        <v>3769</v>
      </c>
      <c r="C215" s="0" t="s">
        <v>3770</v>
      </c>
      <c r="D215" s="0" t="s">
        <v>3777</v>
      </c>
      <c r="E215" s="0" t="s">
        <v>3778</v>
      </c>
      <c r="F215" s="0" t="s">
        <v>3209</v>
      </c>
      <c r="G215" s="0" t="s">
        <v>3779</v>
      </c>
    </row>
    <row customHeight="1" ht="11.25">
      <c r="A216" s="373" t="s">
        <v>14</v>
      </c>
      <c r="B216" s="0" t="s">
        <v>3769</v>
      </c>
      <c r="C216" s="0" t="s">
        <v>3770</v>
      </c>
      <c r="D216" s="0" t="s">
        <v>3780</v>
      </c>
      <c r="E216" s="0" t="s">
        <v>3781</v>
      </c>
      <c r="F216" s="0" t="s">
        <v>3209</v>
      </c>
      <c r="G216" s="0" t="s">
        <v>3782</v>
      </c>
    </row>
    <row customHeight="1" ht="11.25">
      <c r="A217" s="373" t="s">
        <v>14</v>
      </c>
      <c r="B217" s="0" t="s">
        <v>3769</v>
      </c>
      <c r="C217" s="0" t="s">
        <v>3770</v>
      </c>
      <c r="D217" s="0" t="s">
        <v>3783</v>
      </c>
      <c r="E217" s="0" t="s">
        <v>3784</v>
      </c>
      <c r="F217" s="0" t="s">
        <v>3209</v>
      </c>
      <c r="G217" s="0" t="s">
        <v>3785</v>
      </c>
    </row>
    <row customHeight="1" ht="11.25">
      <c r="A218" s="373" t="s">
        <v>14</v>
      </c>
      <c r="B218" s="0" t="s">
        <v>3769</v>
      </c>
      <c r="C218" s="0" t="s">
        <v>3770</v>
      </c>
      <c r="D218" s="0" t="s">
        <v>3769</v>
      </c>
      <c r="E218" s="0" t="s">
        <v>3770</v>
      </c>
      <c r="F218" s="0" t="s">
        <v>3206</v>
      </c>
      <c r="G218" s="0" t="s">
        <v>3786</v>
      </c>
    </row>
    <row customHeight="1" ht="11.25">
      <c r="A219" s="373" t="s">
        <v>14</v>
      </c>
      <c r="B219" s="0" t="s">
        <v>3769</v>
      </c>
      <c r="C219" s="0" t="s">
        <v>3770</v>
      </c>
      <c r="D219" s="0" t="s">
        <v>3787</v>
      </c>
      <c r="E219" s="0" t="s">
        <v>3788</v>
      </c>
      <c r="F219" s="0" t="s">
        <v>3209</v>
      </c>
      <c r="G219" s="0" t="s">
        <v>3789</v>
      </c>
    </row>
    <row customHeight="1" ht="11.25">
      <c r="A220" s="373" t="s">
        <v>14</v>
      </c>
      <c r="B220" s="0" t="s">
        <v>3769</v>
      </c>
      <c r="C220" s="0" t="s">
        <v>3770</v>
      </c>
      <c r="D220" s="0" t="s">
        <v>3790</v>
      </c>
      <c r="E220" s="0" t="s">
        <v>3791</v>
      </c>
      <c r="F220" s="0" t="s">
        <v>3209</v>
      </c>
      <c r="G220" s="0" t="s">
        <v>3792</v>
      </c>
    </row>
    <row customHeight="1" ht="11.25">
      <c r="A221" s="373" t="s">
        <v>14</v>
      </c>
      <c r="B221" s="0" t="s">
        <v>3769</v>
      </c>
      <c r="C221" s="0" t="s">
        <v>3770</v>
      </c>
      <c r="D221" s="0" t="s">
        <v>3793</v>
      </c>
      <c r="E221" s="0" t="s">
        <v>3794</v>
      </c>
      <c r="F221" s="0" t="s">
        <v>3209</v>
      </c>
      <c r="G221" s="0" t="s">
        <v>3795</v>
      </c>
    </row>
    <row customHeight="1" ht="11.25">
      <c r="A222" s="373" t="s">
        <v>14</v>
      </c>
      <c r="B222" s="0" t="s">
        <v>3769</v>
      </c>
      <c r="C222" s="0" t="s">
        <v>3770</v>
      </c>
      <c r="D222" s="0" t="s">
        <v>3796</v>
      </c>
      <c r="E222" s="0" t="s">
        <v>3797</v>
      </c>
      <c r="F222" s="0" t="s">
        <v>3209</v>
      </c>
      <c r="G222" s="0" t="s">
        <v>3798</v>
      </c>
    </row>
    <row customHeight="1" ht="11.25">
      <c r="A223" s="373" t="s">
        <v>14</v>
      </c>
      <c r="B223" s="0" t="s">
        <v>3799</v>
      </c>
      <c r="C223" s="0" t="s">
        <v>3800</v>
      </c>
      <c r="D223" s="0" t="s">
        <v>3801</v>
      </c>
      <c r="E223" s="0" t="s">
        <v>3802</v>
      </c>
      <c r="F223" s="0" t="s">
        <v>3209</v>
      </c>
      <c r="G223" s="0" t="s">
        <v>3803</v>
      </c>
    </row>
    <row customHeight="1" ht="11.25">
      <c r="A224" s="373" t="s">
        <v>14</v>
      </c>
      <c r="B224" s="0" t="s">
        <v>3799</v>
      </c>
      <c r="C224" s="0" t="s">
        <v>3800</v>
      </c>
      <c r="D224" s="0" t="s">
        <v>3804</v>
      </c>
      <c r="E224" s="0" t="s">
        <v>3805</v>
      </c>
      <c r="F224" s="0" t="s">
        <v>3209</v>
      </c>
      <c r="G224" s="0" t="s">
        <v>3806</v>
      </c>
    </row>
    <row customHeight="1" ht="11.25">
      <c r="A225" s="373" t="s">
        <v>14</v>
      </c>
      <c r="B225" s="0" t="s">
        <v>3799</v>
      </c>
      <c r="C225" s="0" t="s">
        <v>3800</v>
      </c>
      <c r="D225" s="0" t="s">
        <v>3807</v>
      </c>
      <c r="E225" s="0" t="s">
        <v>3808</v>
      </c>
      <c r="F225" s="0" t="s">
        <v>3209</v>
      </c>
      <c r="G225" s="0" t="s">
        <v>3809</v>
      </c>
    </row>
    <row customHeight="1" ht="11.25">
      <c r="A226" s="373" t="s">
        <v>14</v>
      </c>
      <c r="B226" s="0" t="s">
        <v>3799</v>
      </c>
      <c r="C226" s="0" t="s">
        <v>3800</v>
      </c>
      <c r="D226" s="0" t="s">
        <v>3810</v>
      </c>
      <c r="E226" s="0" t="s">
        <v>3811</v>
      </c>
      <c r="F226" s="0" t="s">
        <v>3209</v>
      </c>
      <c r="G226" s="0" t="s">
        <v>3812</v>
      </c>
    </row>
    <row customHeight="1" ht="11.25">
      <c r="A227" s="373" t="s">
        <v>14</v>
      </c>
      <c r="B227" s="0" t="s">
        <v>3799</v>
      </c>
      <c r="C227" s="0" t="s">
        <v>3800</v>
      </c>
      <c r="D227" s="0" t="s">
        <v>3813</v>
      </c>
      <c r="E227" s="0" t="s">
        <v>3814</v>
      </c>
      <c r="F227" s="0" t="s">
        <v>3209</v>
      </c>
      <c r="G227" s="0" t="s">
        <v>3815</v>
      </c>
    </row>
    <row customHeight="1" ht="11.25">
      <c r="A228" s="373" t="s">
        <v>14</v>
      </c>
      <c r="B228" s="0" t="s">
        <v>3799</v>
      </c>
      <c r="C228" s="0" t="s">
        <v>3800</v>
      </c>
      <c r="D228" s="0" t="s">
        <v>3799</v>
      </c>
      <c r="E228" s="0" t="s">
        <v>3800</v>
      </c>
      <c r="F228" s="0" t="s">
        <v>3206</v>
      </c>
      <c r="G228" s="0" t="s">
        <v>3816</v>
      </c>
    </row>
    <row customHeight="1" ht="11.25">
      <c r="A229" s="373" t="s">
        <v>14</v>
      </c>
      <c r="B229" s="0" t="s">
        <v>3799</v>
      </c>
      <c r="C229" s="0" t="s">
        <v>3800</v>
      </c>
      <c r="D229" s="0" t="s">
        <v>3817</v>
      </c>
      <c r="E229" s="0" t="s">
        <v>3818</v>
      </c>
      <c r="F229" s="0" t="s">
        <v>3209</v>
      </c>
      <c r="G229" s="0" t="s">
        <v>3819</v>
      </c>
    </row>
    <row customHeight="1" ht="11.25">
      <c r="A230" s="373" t="s">
        <v>14</v>
      </c>
      <c r="B230" s="0" t="s">
        <v>3799</v>
      </c>
      <c r="C230" s="0" t="s">
        <v>3800</v>
      </c>
      <c r="D230" s="0" t="s">
        <v>3820</v>
      </c>
      <c r="E230" s="0" t="s">
        <v>3821</v>
      </c>
      <c r="F230" s="0" t="s">
        <v>3209</v>
      </c>
      <c r="G230" s="0" t="s">
        <v>3822</v>
      </c>
    </row>
    <row customHeight="1" ht="11.25">
      <c r="A231" s="373" t="s">
        <v>14</v>
      </c>
      <c r="B231" s="0" t="s">
        <v>3799</v>
      </c>
      <c r="C231" s="0" t="s">
        <v>3800</v>
      </c>
      <c r="D231" s="0" t="s">
        <v>3823</v>
      </c>
      <c r="E231" s="0" t="s">
        <v>3824</v>
      </c>
      <c r="F231" s="0" t="s">
        <v>3209</v>
      </c>
      <c r="G231" s="0" t="s">
        <v>3825</v>
      </c>
    </row>
    <row customHeight="1" ht="11.25">
      <c r="A232" s="373" t="s">
        <v>14</v>
      </c>
      <c r="B232" s="0" t="s">
        <v>3826</v>
      </c>
      <c r="C232" s="0" t="s">
        <v>3827</v>
      </c>
      <c r="D232" s="0" t="s">
        <v>3828</v>
      </c>
      <c r="E232" s="0" t="s">
        <v>3829</v>
      </c>
      <c r="F232" s="0" t="s">
        <v>3209</v>
      </c>
      <c r="G232" s="0" t="s">
        <v>3830</v>
      </c>
    </row>
    <row customHeight="1" ht="11.25">
      <c r="A233" s="373" t="s">
        <v>14</v>
      </c>
      <c r="B233" s="0" t="s">
        <v>3826</v>
      </c>
      <c r="C233" s="0" t="s">
        <v>3827</v>
      </c>
      <c r="D233" s="0" t="s">
        <v>3831</v>
      </c>
      <c r="E233" s="0" t="s">
        <v>3832</v>
      </c>
      <c r="F233" s="0" t="s">
        <v>3209</v>
      </c>
      <c r="G233" s="0" t="s">
        <v>3833</v>
      </c>
    </row>
    <row customHeight="1" ht="11.25">
      <c r="A234" s="373" t="s">
        <v>14</v>
      </c>
      <c r="B234" s="0" t="s">
        <v>3826</v>
      </c>
      <c r="C234" s="0" t="s">
        <v>3827</v>
      </c>
      <c r="D234" s="0" t="s">
        <v>3834</v>
      </c>
      <c r="E234" s="0" t="s">
        <v>3835</v>
      </c>
      <c r="F234" s="0" t="s">
        <v>3209</v>
      </c>
      <c r="G234" s="0" t="s">
        <v>3836</v>
      </c>
    </row>
    <row customHeight="1" ht="11.25">
      <c r="A235" s="373" t="s">
        <v>14</v>
      </c>
      <c r="B235" s="0" t="s">
        <v>3826</v>
      </c>
      <c r="C235" s="0" t="s">
        <v>3827</v>
      </c>
      <c r="D235" s="0" t="s">
        <v>3837</v>
      </c>
      <c r="E235" s="0" t="s">
        <v>3838</v>
      </c>
      <c r="F235" s="0" t="s">
        <v>3209</v>
      </c>
      <c r="G235" s="0" t="s">
        <v>3839</v>
      </c>
    </row>
    <row customHeight="1" ht="11.25">
      <c r="A236" s="373" t="s">
        <v>14</v>
      </c>
      <c r="B236" s="0" t="s">
        <v>3826</v>
      </c>
      <c r="C236" s="0" t="s">
        <v>3827</v>
      </c>
      <c r="D236" s="0" t="s">
        <v>3840</v>
      </c>
      <c r="E236" s="0" t="s">
        <v>3841</v>
      </c>
      <c r="F236" s="0" t="s">
        <v>3209</v>
      </c>
      <c r="G236" s="0" t="s">
        <v>3842</v>
      </c>
    </row>
    <row customHeight="1" ht="11.25">
      <c r="A237" s="373" t="s">
        <v>14</v>
      </c>
      <c r="B237" s="0" t="s">
        <v>3826</v>
      </c>
      <c r="C237" s="0" t="s">
        <v>3827</v>
      </c>
      <c r="D237" s="0" t="s">
        <v>3843</v>
      </c>
      <c r="E237" s="0" t="s">
        <v>3844</v>
      </c>
      <c r="F237" s="0" t="s">
        <v>3209</v>
      </c>
      <c r="G237" s="0" t="s">
        <v>3845</v>
      </c>
    </row>
    <row customHeight="1" ht="11.25">
      <c r="A238" s="373" t="s">
        <v>14</v>
      </c>
      <c r="B238" s="0" t="s">
        <v>3826</v>
      </c>
      <c r="C238" s="0" t="s">
        <v>3827</v>
      </c>
      <c r="D238" s="0" t="s">
        <v>3826</v>
      </c>
      <c r="E238" s="0" t="s">
        <v>3827</v>
      </c>
      <c r="F238" s="0" t="s">
        <v>3206</v>
      </c>
      <c r="G238" s="0" t="s">
        <v>3846</v>
      </c>
    </row>
    <row customHeight="1" ht="11.25">
      <c r="A239" s="373" t="s">
        <v>14</v>
      </c>
      <c r="B239" s="0" t="s">
        <v>3826</v>
      </c>
      <c r="C239" s="0" t="s">
        <v>3827</v>
      </c>
      <c r="D239" s="0" t="s">
        <v>3847</v>
      </c>
      <c r="E239" s="0" t="s">
        <v>3848</v>
      </c>
      <c r="F239" s="0" t="s">
        <v>3248</v>
      </c>
      <c r="G239" s="0" t="s">
        <v>3849</v>
      </c>
    </row>
    <row customHeight="1" ht="11.25">
      <c r="A240" s="373" t="s">
        <v>14</v>
      </c>
      <c r="B240" s="0" t="s">
        <v>3826</v>
      </c>
      <c r="C240" s="0" t="s">
        <v>3827</v>
      </c>
      <c r="D240" s="0" t="s">
        <v>3850</v>
      </c>
      <c r="E240" s="0" t="s">
        <v>3851</v>
      </c>
      <c r="F240" s="0" t="s">
        <v>3209</v>
      </c>
      <c r="G240" s="0" t="s">
        <v>3852</v>
      </c>
    </row>
    <row customHeight="1" ht="11.25">
      <c r="A241" s="373" t="s">
        <v>14</v>
      </c>
      <c r="B241" s="0" t="s">
        <v>3826</v>
      </c>
      <c r="C241" s="0" t="s">
        <v>3827</v>
      </c>
      <c r="D241" s="0" t="s">
        <v>3675</v>
      </c>
      <c r="E241" s="0" t="s">
        <v>3853</v>
      </c>
      <c r="F241" s="0" t="s">
        <v>3209</v>
      </c>
      <c r="G241" s="0" t="s">
        <v>3854</v>
      </c>
    </row>
    <row customHeight="1" ht="11.25">
      <c r="A242" s="373" t="s">
        <v>14</v>
      </c>
      <c r="B242" s="0" t="s">
        <v>3826</v>
      </c>
      <c r="C242" s="0" t="s">
        <v>3827</v>
      </c>
      <c r="D242" s="0" t="s">
        <v>3855</v>
      </c>
      <c r="E242" s="0" t="s">
        <v>3856</v>
      </c>
      <c r="F242" s="0" t="s">
        <v>3209</v>
      </c>
      <c r="G242" s="0" t="s">
        <v>3857</v>
      </c>
    </row>
    <row customHeight="1" ht="11.25">
      <c r="A243" s="373" t="s">
        <v>14</v>
      </c>
      <c r="B243" s="0" t="s">
        <v>3826</v>
      </c>
      <c r="C243" s="0" t="s">
        <v>3827</v>
      </c>
      <c r="D243" s="0" t="s">
        <v>3858</v>
      </c>
      <c r="E243" s="0" t="s">
        <v>3859</v>
      </c>
      <c r="F243" s="0" t="s">
        <v>3209</v>
      </c>
      <c r="G243" s="0" t="s">
        <v>3860</v>
      </c>
    </row>
    <row customHeight="1" ht="11.25">
      <c r="A244" s="373" t="s">
        <v>14</v>
      </c>
      <c r="B244" s="0" t="s">
        <v>3826</v>
      </c>
      <c r="C244" s="0" t="s">
        <v>3827</v>
      </c>
      <c r="D244" s="0" t="s">
        <v>3861</v>
      </c>
      <c r="E244" s="0" t="s">
        <v>3862</v>
      </c>
      <c r="F244" s="0" t="s">
        <v>3209</v>
      </c>
      <c r="G244" s="0" t="s">
        <v>3863</v>
      </c>
    </row>
    <row customHeight="1" ht="11.25">
      <c r="A245" s="373" t="s">
        <v>14</v>
      </c>
      <c r="B245" s="0" t="s">
        <v>3826</v>
      </c>
      <c r="C245" s="0" t="s">
        <v>3827</v>
      </c>
      <c r="D245" s="0" t="s">
        <v>3864</v>
      </c>
      <c r="E245" s="0" t="s">
        <v>3865</v>
      </c>
      <c r="F245" s="0" t="s">
        <v>3209</v>
      </c>
      <c r="G245" s="0" t="s">
        <v>3866</v>
      </c>
    </row>
    <row customHeight="1" ht="11.25">
      <c r="A246" s="373" t="s">
        <v>14</v>
      </c>
      <c r="B246" s="0" t="s">
        <v>3867</v>
      </c>
      <c r="C246" s="0" t="s">
        <v>3868</v>
      </c>
      <c r="D246" s="0" t="s">
        <v>3869</v>
      </c>
      <c r="E246" s="0" t="s">
        <v>3870</v>
      </c>
      <c r="F246" s="0" t="s">
        <v>3209</v>
      </c>
      <c r="G246" s="0" t="s">
        <v>3871</v>
      </c>
    </row>
    <row customHeight="1" ht="11.25">
      <c r="A247" s="373" t="s">
        <v>14</v>
      </c>
      <c r="B247" s="0" t="s">
        <v>3867</v>
      </c>
      <c r="C247" s="0" t="s">
        <v>3868</v>
      </c>
      <c r="D247" s="0" t="s">
        <v>3872</v>
      </c>
      <c r="E247" s="0" t="s">
        <v>3873</v>
      </c>
      <c r="F247" s="0" t="s">
        <v>3209</v>
      </c>
      <c r="G247" s="0" t="s">
        <v>3874</v>
      </c>
    </row>
    <row customHeight="1" ht="11.25">
      <c r="A248" s="373" t="s">
        <v>14</v>
      </c>
      <c r="B248" s="0" t="s">
        <v>3867</v>
      </c>
      <c r="C248" s="0" t="s">
        <v>3868</v>
      </c>
      <c r="D248" s="0" t="s">
        <v>3867</v>
      </c>
      <c r="E248" s="0" t="s">
        <v>3868</v>
      </c>
      <c r="F248" s="0" t="s">
        <v>3206</v>
      </c>
      <c r="G248" s="0" t="s">
        <v>3875</v>
      </c>
    </row>
    <row customHeight="1" ht="11.25">
      <c r="A249" s="373" t="s">
        <v>14</v>
      </c>
      <c r="B249" s="0" t="s">
        <v>3867</v>
      </c>
      <c r="C249" s="0" t="s">
        <v>3868</v>
      </c>
      <c r="D249" s="0" t="s">
        <v>3876</v>
      </c>
      <c r="E249" s="0" t="s">
        <v>3877</v>
      </c>
      <c r="F249" s="0" t="s">
        <v>3209</v>
      </c>
      <c r="G249" s="0" t="s">
        <v>3878</v>
      </c>
    </row>
    <row customHeight="1" ht="11.25">
      <c r="A250" s="373" t="s">
        <v>14</v>
      </c>
      <c r="B250" s="0" t="s">
        <v>3867</v>
      </c>
      <c r="C250" s="0" t="s">
        <v>3868</v>
      </c>
      <c r="D250" s="0" t="s">
        <v>3879</v>
      </c>
      <c r="E250" s="0" t="s">
        <v>3880</v>
      </c>
      <c r="F250" s="0" t="s">
        <v>3209</v>
      </c>
      <c r="G250" s="0" t="s">
        <v>3881</v>
      </c>
    </row>
    <row customHeight="1" ht="11.25">
      <c r="A251" s="373" t="s">
        <v>14</v>
      </c>
      <c r="B251" s="0" t="s">
        <v>3867</v>
      </c>
      <c r="C251" s="0" t="s">
        <v>3868</v>
      </c>
      <c r="D251" s="0" t="s">
        <v>3882</v>
      </c>
      <c r="E251" s="0" t="s">
        <v>3883</v>
      </c>
      <c r="F251" s="0" t="s">
        <v>3209</v>
      </c>
      <c r="G251" s="0" t="s">
        <v>3884</v>
      </c>
    </row>
    <row customHeight="1" ht="11.25">
      <c r="A252" s="373" t="s">
        <v>14</v>
      </c>
      <c r="B252" s="0" t="s">
        <v>3867</v>
      </c>
      <c r="C252" s="0" t="s">
        <v>3868</v>
      </c>
      <c r="D252" s="0" t="s">
        <v>3885</v>
      </c>
      <c r="E252" s="0" t="s">
        <v>3886</v>
      </c>
      <c r="F252" s="0" t="s">
        <v>3209</v>
      </c>
      <c r="G252" s="0" t="s">
        <v>3887</v>
      </c>
    </row>
    <row customHeight="1" ht="11.25">
      <c r="A253" s="373" t="s">
        <v>14</v>
      </c>
      <c r="B253" s="0" t="s">
        <v>3867</v>
      </c>
      <c r="C253" s="0" t="s">
        <v>3868</v>
      </c>
      <c r="D253" s="0" t="s">
        <v>3888</v>
      </c>
      <c r="E253" s="0" t="s">
        <v>3889</v>
      </c>
      <c r="F253" s="0" t="s">
        <v>3209</v>
      </c>
      <c r="G253" s="0" t="s">
        <v>3890</v>
      </c>
    </row>
    <row customHeight="1" ht="11.25">
      <c r="A254" s="373" t="s">
        <v>14</v>
      </c>
      <c r="B254" s="0" t="s">
        <v>3891</v>
      </c>
      <c r="C254" s="0" t="s">
        <v>3892</v>
      </c>
      <c r="D254" s="0" t="s">
        <v>3893</v>
      </c>
      <c r="E254" s="0" t="s">
        <v>3894</v>
      </c>
      <c r="F254" s="0" t="s">
        <v>3209</v>
      </c>
      <c r="G254" s="0" t="s">
        <v>3895</v>
      </c>
    </row>
    <row customHeight="1" ht="11.25">
      <c r="A255" s="373" t="s">
        <v>14</v>
      </c>
      <c r="B255" s="0" t="s">
        <v>3891</v>
      </c>
      <c r="C255" s="0" t="s">
        <v>3892</v>
      </c>
      <c r="D255" s="0" t="s">
        <v>3896</v>
      </c>
      <c r="E255" s="0" t="s">
        <v>3897</v>
      </c>
      <c r="F255" s="0" t="s">
        <v>3209</v>
      </c>
      <c r="G255" s="0" t="s">
        <v>3898</v>
      </c>
    </row>
    <row customHeight="1" ht="11.25">
      <c r="A256" s="373" t="s">
        <v>14</v>
      </c>
      <c r="B256" s="0" t="s">
        <v>3891</v>
      </c>
      <c r="C256" s="0" t="s">
        <v>3892</v>
      </c>
      <c r="D256" s="0" t="s">
        <v>3899</v>
      </c>
      <c r="E256" s="0" t="s">
        <v>3900</v>
      </c>
      <c r="F256" s="0" t="s">
        <v>3209</v>
      </c>
      <c r="G256" s="0" t="s">
        <v>3901</v>
      </c>
    </row>
    <row customHeight="1" ht="11.25">
      <c r="A257" s="373" t="s">
        <v>14</v>
      </c>
      <c r="B257" s="0" t="s">
        <v>3891</v>
      </c>
      <c r="C257" s="0" t="s">
        <v>3892</v>
      </c>
      <c r="D257" s="0" t="s">
        <v>3902</v>
      </c>
      <c r="E257" s="0" t="s">
        <v>3903</v>
      </c>
      <c r="F257" s="0" t="s">
        <v>3209</v>
      </c>
      <c r="G257" s="0" t="s">
        <v>3904</v>
      </c>
    </row>
    <row customHeight="1" ht="11.25">
      <c r="A258" s="373" t="s">
        <v>14</v>
      </c>
      <c r="B258" s="0" t="s">
        <v>3891</v>
      </c>
      <c r="C258" s="0" t="s">
        <v>3892</v>
      </c>
      <c r="D258" s="0" t="s">
        <v>3905</v>
      </c>
      <c r="E258" s="0" t="s">
        <v>3906</v>
      </c>
      <c r="F258" s="0" t="s">
        <v>3209</v>
      </c>
      <c r="G258" s="0" t="s">
        <v>3907</v>
      </c>
    </row>
    <row customHeight="1" ht="11.25">
      <c r="A259" s="373" t="s">
        <v>14</v>
      </c>
      <c r="B259" s="0" t="s">
        <v>3891</v>
      </c>
      <c r="C259" s="0" t="s">
        <v>3892</v>
      </c>
      <c r="D259" s="0" t="s">
        <v>3908</v>
      </c>
      <c r="E259" s="0" t="s">
        <v>3909</v>
      </c>
      <c r="F259" s="0" t="s">
        <v>3209</v>
      </c>
      <c r="G259" s="0" t="s">
        <v>3910</v>
      </c>
    </row>
    <row customHeight="1" ht="11.25">
      <c r="A260" s="373" t="s">
        <v>14</v>
      </c>
      <c r="B260" s="0" t="s">
        <v>3891</v>
      </c>
      <c r="C260" s="0" t="s">
        <v>3892</v>
      </c>
      <c r="D260" s="0" t="s">
        <v>3891</v>
      </c>
      <c r="E260" s="0" t="s">
        <v>3892</v>
      </c>
      <c r="F260" s="0" t="s">
        <v>3206</v>
      </c>
      <c r="G260" s="0" t="s">
        <v>3911</v>
      </c>
    </row>
    <row customHeight="1" ht="11.25">
      <c r="A261" s="373" t="s">
        <v>14</v>
      </c>
      <c r="B261" s="0" t="s">
        <v>3891</v>
      </c>
      <c r="C261" s="0" t="s">
        <v>3892</v>
      </c>
      <c r="D261" s="0" t="s">
        <v>3912</v>
      </c>
      <c r="E261" s="0" t="s">
        <v>3913</v>
      </c>
      <c r="F261" s="0" t="s">
        <v>3248</v>
      </c>
      <c r="G261" s="0" t="s">
        <v>3914</v>
      </c>
    </row>
    <row customHeight="1" ht="11.25">
      <c r="A262" s="373" t="s">
        <v>14</v>
      </c>
      <c r="B262" s="0" t="s">
        <v>3891</v>
      </c>
      <c r="C262" s="0" t="s">
        <v>3892</v>
      </c>
      <c r="D262" s="0" t="s">
        <v>3915</v>
      </c>
      <c r="E262" s="0" t="s">
        <v>3916</v>
      </c>
      <c r="F262" s="0" t="s">
        <v>3209</v>
      </c>
      <c r="G262" s="0" t="s">
        <v>3917</v>
      </c>
    </row>
    <row customHeight="1" ht="11.25">
      <c r="A263" s="373" t="s">
        <v>14</v>
      </c>
      <c r="B263" s="0" t="s">
        <v>3891</v>
      </c>
      <c r="C263" s="0" t="s">
        <v>3892</v>
      </c>
      <c r="D263" s="0" t="s">
        <v>3918</v>
      </c>
      <c r="E263" s="0" t="s">
        <v>3919</v>
      </c>
      <c r="F263" s="0" t="s">
        <v>3209</v>
      </c>
      <c r="G263" s="0" t="s">
        <v>3920</v>
      </c>
    </row>
    <row customHeight="1" ht="11.25">
      <c r="A264" s="373" t="s">
        <v>14</v>
      </c>
      <c r="B264" s="0" t="s">
        <v>3921</v>
      </c>
      <c r="C264" s="0" t="s">
        <v>3922</v>
      </c>
      <c r="D264" s="0" t="s">
        <v>3923</v>
      </c>
      <c r="E264" s="0" t="s">
        <v>3924</v>
      </c>
      <c r="F264" s="0" t="s">
        <v>3209</v>
      </c>
      <c r="G264" s="0" t="s">
        <v>3925</v>
      </c>
    </row>
    <row customHeight="1" ht="11.25">
      <c r="A265" s="373" t="s">
        <v>14</v>
      </c>
      <c r="B265" s="0" t="s">
        <v>3921</v>
      </c>
      <c r="C265" s="0" t="s">
        <v>3922</v>
      </c>
      <c r="D265" s="0" t="s">
        <v>3597</v>
      </c>
      <c r="E265" s="0" t="s">
        <v>3926</v>
      </c>
      <c r="F265" s="0" t="s">
        <v>3209</v>
      </c>
      <c r="G265" s="0" t="s">
        <v>3927</v>
      </c>
    </row>
    <row customHeight="1" ht="11.25">
      <c r="A266" s="373" t="s">
        <v>14</v>
      </c>
      <c r="B266" s="0" t="s">
        <v>3921</v>
      </c>
      <c r="C266" s="0" t="s">
        <v>3922</v>
      </c>
      <c r="D266" s="0" t="s">
        <v>3928</v>
      </c>
      <c r="E266" s="0" t="s">
        <v>3929</v>
      </c>
      <c r="F266" s="0" t="s">
        <v>3209</v>
      </c>
      <c r="G266" s="0" t="s">
        <v>3930</v>
      </c>
    </row>
    <row customHeight="1" ht="11.25">
      <c r="A267" s="373" t="s">
        <v>14</v>
      </c>
      <c r="B267" s="0" t="s">
        <v>3921</v>
      </c>
      <c r="C267" s="0" t="s">
        <v>3922</v>
      </c>
      <c r="D267" s="0" t="s">
        <v>3931</v>
      </c>
      <c r="E267" s="0" t="s">
        <v>3932</v>
      </c>
      <c r="F267" s="0" t="s">
        <v>3209</v>
      </c>
      <c r="G267" s="0" t="s">
        <v>3933</v>
      </c>
    </row>
    <row customHeight="1" ht="11.25">
      <c r="A268" s="373" t="s">
        <v>14</v>
      </c>
      <c r="B268" s="0" t="s">
        <v>3921</v>
      </c>
      <c r="C268" s="0" t="s">
        <v>3922</v>
      </c>
      <c r="D268" s="0" t="s">
        <v>3921</v>
      </c>
      <c r="E268" s="0" t="s">
        <v>3922</v>
      </c>
      <c r="F268" s="0" t="s">
        <v>3206</v>
      </c>
      <c r="G268" s="0" t="s">
        <v>3934</v>
      </c>
    </row>
    <row customHeight="1" ht="11.25">
      <c r="A269" s="373" t="s">
        <v>14</v>
      </c>
      <c r="B269" s="0" t="s">
        <v>3921</v>
      </c>
      <c r="C269" s="0" t="s">
        <v>3922</v>
      </c>
      <c r="D269" s="0" t="s">
        <v>3935</v>
      </c>
      <c r="E269" s="0" t="s">
        <v>3936</v>
      </c>
      <c r="F269" s="0" t="s">
        <v>3209</v>
      </c>
      <c r="G269" s="0" t="s">
        <v>3937</v>
      </c>
    </row>
    <row customHeight="1" ht="11.25">
      <c r="A270" s="373" t="s">
        <v>14</v>
      </c>
      <c r="B270" s="0" t="s">
        <v>3921</v>
      </c>
      <c r="C270" s="0" t="s">
        <v>3922</v>
      </c>
      <c r="D270" s="0" t="s">
        <v>3938</v>
      </c>
      <c r="E270" s="0" t="s">
        <v>3939</v>
      </c>
      <c r="F270" s="0" t="s">
        <v>3209</v>
      </c>
      <c r="G270" s="0" t="s">
        <v>3940</v>
      </c>
    </row>
    <row customHeight="1" ht="11.25">
      <c r="A271" s="373" t="s">
        <v>14</v>
      </c>
      <c r="B271" s="0" t="s">
        <v>3921</v>
      </c>
      <c r="C271" s="0" t="s">
        <v>3922</v>
      </c>
      <c r="D271" s="0" t="s">
        <v>3941</v>
      </c>
      <c r="E271" s="0" t="s">
        <v>3942</v>
      </c>
      <c r="F271" s="0" t="s">
        <v>3209</v>
      </c>
      <c r="G271" s="0" t="s">
        <v>3943</v>
      </c>
    </row>
    <row customHeight="1" ht="11.25">
      <c r="A272" s="373" t="s">
        <v>14</v>
      </c>
      <c r="B272" s="0" t="s">
        <v>3944</v>
      </c>
      <c r="C272" s="0" t="s">
        <v>3945</v>
      </c>
      <c r="D272" s="0" t="s">
        <v>3946</v>
      </c>
      <c r="E272" s="0" t="s">
        <v>3947</v>
      </c>
      <c r="F272" s="0" t="s">
        <v>3209</v>
      </c>
      <c r="G272" s="0" t="s">
        <v>3948</v>
      </c>
    </row>
    <row customHeight="1" ht="11.25">
      <c r="A273" s="373" t="s">
        <v>14</v>
      </c>
      <c r="B273" s="0" t="s">
        <v>3944</v>
      </c>
      <c r="C273" s="0" t="s">
        <v>3945</v>
      </c>
      <c r="D273" s="0" t="s">
        <v>3949</v>
      </c>
      <c r="E273" s="0" t="s">
        <v>3950</v>
      </c>
      <c r="F273" s="0" t="s">
        <v>3209</v>
      </c>
      <c r="G273" s="0" t="s">
        <v>3951</v>
      </c>
    </row>
    <row customHeight="1" ht="11.25">
      <c r="A274" s="373" t="s">
        <v>14</v>
      </c>
      <c r="B274" s="0" t="s">
        <v>3944</v>
      </c>
      <c r="C274" s="0" t="s">
        <v>3945</v>
      </c>
      <c r="D274" s="0" t="s">
        <v>3952</v>
      </c>
      <c r="E274" s="0" t="s">
        <v>3953</v>
      </c>
      <c r="F274" s="0" t="s">
        <v>3209</v>
      </c>
      <c r="G274" s="0" t="s">
        <v>3954</v>
      </c>
    </row>
    <row customHeight="1" ht="11.25">
      <c r="A275" s="373" t="s">
        <v>14</v>
      </c>
      <c r="B275" s="0" t="s">
        <v>3944</v>
      </c>
      <c r="C275" s="0" t="s">
        <v>3945</v>
      </c>
      <c r="D275" s="0" t="s">
        <v>3955</v>
      </c>
      <c r="E275" s="0" t="s">
        <v>3956</v>
      </c>
      <c r="F275" s="0" t="s">
        <v>3209</v>
      </c>
      <c r="G275" s="0" t="s">
        <v>3957</v>
      </c>
    </row>
    <row customHeight="1" ht="11.25">
      <c r="A276" s="373" t="s">
        <v>14</v>
      </c>
      <c r="B276" s="0" t="s">
        <v>3944</v>
      </c>
      <c r="C276" s="0" t="s">
        <v>3945</v>
      </c>
      <c r="D276" s="0" t="s">
        <v>3958</v>
      </c>
      <c r="E276" s="0" t="s">
        <v>3959</v>
      </c>
      <c r="F276" s="0" t="s">
        <v>3209</v>
      </c>
      <c r="G276" s="0" t="s">
        <v>3960</v>
      </c>
    </row>
    <row customHeight="1" ht="11.25">
      <c r="A277" s="373" t="s">
        <v>14</v>
      </c>
      <c r="B277" s="0" t="s">
        <v>3944</v>
      </c>
      <c r="C277" s="0" t="s">
        <v>3945</v>
      </c>
      <c r="D277" s="0" t="s">
        <v>3961</v>
      </c>
      <c r="E277" s="0" t="s">
        <v>3962</v>
      </c>
      <c r="F277" s="0" t="s">
        <v>3209</v>
      </c>
      <c r="G277" s="0" t="s">
        <v>3963</v>
      </c>
    </row>
    <row customHeight="1" ht="11.25">
      <c r="A278" s="373" t="s">
        <v>14</v>
      </c>
      <c r="B278" s="0" t="s">
        <v>3944</v>
      </c>
      <c r="C278" s="0" t="s">
        <v>3945</v>
      </c>
      <c r="D278" s="0" t="s">
        <v>3944</v>
      </c>
      <c r="E278" s="0" t="s">
        <v>3945</v>
      </c>
      <c r="F278" s="0" t="s">
        <v>3206</v>
      </c>
      <c r="G278" s="0" t="s">
        <v>3964</v>
      </c>
    </row>
    <row customHeight="1" ht="11.25">
      <c r="A279" s="373" t="s">
        <v>14</v>
      </c>
      <c r="B279" s="0" t="s">
        <v>3944</v>
      </c>
      <c r="C279" s="0" t="s">
        <v>3945</v>
      </c>
      <c r="D279" s="0" t="s">
        <v>3702</v>
      </c>
      <c r="E279" s="0" t="s">
        <v>3965</v>
      </c>
      <c r="F279" s="0" t="s">
        <v>3209</v>
      </c>
      <c r="G279" s="0" t="s">
        <v>3966</v>
      </c>
    </row>
    <row customHeight="1" ht="11.25">
      <c r="A280" s="373" t="s">
        <v>14</v>
      </c>
      <c r="B280" s="0" t="s">
        <v>3944</v>
      </c>
      <c r="C280" s="0" t="s">
        <v>3945</v>
      </c>
      <c r="D280" s="0" t="s">
        <v>3967</v>
      </c>
      <c r="E280" s="0" t="s">
        <v>3968</v>
      </c>
      <c r="F280" s="0" t="s">
        <v>3209</v>
      </c>
      <c r="G280" s="0" t="s">
        <v>3969</v>
      </c>
    </row>
    <row customHeight="1" ht="11.25">
      <c r="A281" s="373" t="s">
        <v>14</v>
      </c>
      <c r="B281" s="0" t="s">
        <v>3944</v>
      </c>
      <c r="C281" s="0" t="s">
        <v>3945</v>
      </c>
      <c r="D281" s="0" t="s">
        <v>3970</v>
      </c>
      <c r="E281" s="0" t="s">
        <v>3971</v>
      </c>
      <c r="F281" s="0" t="s">
        <v>3209</v>
      </c>
      <c r="G281" s="0" t="s">
        <v>3972</v>
      </c>
    </row>
    <row customHeight="1" ht="11.25">
      <c r="A282" s="373" t="s">
        <v>14</v>
      </c>
      <c r="B282" s="0" t="s">
        <v>3944</v>
      </c>
      <c r="C282" s="0" t="s">
        <v>3945</v>
      </c>
      <c r="D282" s="0" t="s">
        <v>3973</v>
      </c>
      <c r="E282" s="0" t="s">
        <v>3974</v>
      </c>
      <c r="F282" s="0" t="s">
        <v>3209</v>
      </c>
      <c r="G282" s="0" t="s">
        <v>3975</v>
      </c>
    </row>
    <row customHeight="1" ht="11.25">
      <c r="A283" s="373" t="s">
        <v>14</v>
      </c>
      <c r="B283" s="0" t="s">
        <v>3944</v>
      </c>
      <c r="C283" s="0" t="s">
        <v>3945</v>
      </c>
      <c r="D283" s="0" t="s">
        <v>3976</v>
      </c>
      <c r="E283" s="0" t="s">
        <v>3977</v>
      </c>
      <c r="F283" s="0" t="s">
        <v>3209</v>
      </c>
      <c r="G283" s="0" t="s">
        <v>3978</v>
      </c>
    </row>
    <row customHeight="1" ht="11.25">
      <c r="A284" s="373" t="s">
        <v>14</v>
      </c>
      <c r="B284" s="0" t="s">
        <v>3944</v>
      </c>
      <c r="C284" s="0" t="s">
        <v>3945</v>
      </c>
      <c r="D284" s="0" t="s">
        <v>3979</v>
      </c>
      <c r="E284" s="0" t="s">
        <v>3980</v>
      </c>
      <c r="F284" s="0" t="s">
        <v>3209</v>
      </c>
      <c r="G284" s="0" t="s">
        <v>3981</v>
      </c>
    </row>
    <row customHeight="1" ht="11.25">
      <c r="A285" s="373" t="s">
        <v>14</v>
      </c>
      <c r="B285" s="0" t="s">
        <v>3944</v>
      </c>
      <c r="C285" s="0" t="s">
        <v>3945</v>
      </c>
      <c r="D285" s="0" t="s">
        <v>3982</v>
      </c>
      <c r="E285" s="0" t="s">
        <v>3983</v>
      </c>
      <c r="F285" s="0" t="s">
        <v>3209</v>
      </c>
      <c r="G285" s="0" t="s">
        <v>3984</v>
      </c>
    </row>
    <row customHeight="1" ht="11.25">
      <c r="A286" s="373" t="s">
        <v>14</v>
      </c>
      <c r="B286" s="0" t="s">
        <v>3944</v>
      </c>
      <c r="C286" s="0" t="s">
        <v>3945</v>
      </c>
      <c r="D286" s="0" t="s">
        <v>3985</v>
      </c>
      <c r="E286" s="0" t="s">
        <v>3986</v>
      </c>
      <c r="F286" s="0" t="s">
        <v>3209</v>
      </c>
      <c r="G286" s="0" t="s">
        <v>3987</v>
      </c>
    </row>
    <row customHeight="1" ht="11.25">
      <c r="A287" s="373" t="s">
        <v>14</v>
      </c>
      <c r="B287" s="0" t="s">
        <v>3944</v>
      </c>
      <c r="C287" s="0" t="s">
        <v>3945</v>
      </c>
      <c r="D287" s="0" t="s">
        <v>3988</v>
      </c>
      <c r="E287" s="0" t="s">
        <v>3989</v>
      </c>
      <c r="F287" s="0" t="s">
        <v>3209</v>
      </c>
      <c r="G287" s="0" t="s">
        <v>3990</v>
      </c>
    </row>
    <row customHeight="1" ht="11.25">
      <c r="A288" s="373" t="s">
        <v>14</v>
      </c>
      <c r="B288" s="0" t="s">
        <v>3944</v>
      </c>
      <c r="C288" s="0" t="s">
        <v>3945</v>
      </c>
      <c r="D288" s="0" t="s">
        <v>3991</v>
      </c>
      <c r="E288" s="0" t="s">
        <v>3992</v>
      </c>
      <c r="F288" s="0" t="s">
        <v>3209</v>
      </c>
      <c r="G288" s="0" t="s">
        <v>3993</v>
      </c>
    </row>
    <row customHeight="1" ht="11.25">
      <c r="A289" s="373" t="s">
        <v>14</v>
      </c>
      <c r="B289" s="0" t="s">
        <v>3944</v>
      </c>
      <c r="C289" s="0" t="s">
        <v>3945</v>
      </c>
      <c r="D289" s="0" t="s">
        <v>3994</v>
      </c>
      <c r="E289" s="0" t="s">
        <v>3995</v>
      </c>
      <c r="F289" s="0" t="s">
        <v>3209</v>
      </c>
      <c r="G289" s="0" t="s">
        <v>3996</v>
      </c>
    </row>
    <row customHeight="1" ht="11.25">
      <c r="A290" s="373" t="s">
        <v>14</v>
      </c>
      <c r="B290" s="0" t="s">
        <v>3944</v>
      </c>
      <c r="C290" s="0" t="s">
        <v>3945</v>
      </c>
      <c r="D290" s="0" t="s">
        <v>3997</v>
      </c>
      <c r="E290" s="0" t="s">
        <v>3998</v>
      </c>
      <c r="F290" s="0" t="s">
        <v>3209</v>
      </c>
      <c r="G290" s="0" t="s">
        <v>3999</v>
      </c>
    </row>
    <row customHeight="1" ht="11.25">
      <c r="A291" s="373" t="s">
        <v>14</v>
      </c>
      <c r="B291" s="0" t="s">
        <v>4000</v>
      </c>
      <c r="C291" s="0" t="s">
        <v>4001</v>
      </c>
      <c r="D291" s="0" t="s">
        <v>3207</v>
      </c>
      <c r="E291" s="0" t="s">
        <v>4002</v>
      </c>
      <c r="F291" s="0" t="s">
        <v>3209</v>
      </c>
      <c r="G291" s="0" t="s">
        <v>4003</v>
      </c>
    </row>
    <row customHeight="1" ht="11.25">
      <c r="A292" s="373" t="s">
        <v>14</v>
      </c>
      <c r="B292" s="0" t="s">
        <v>4000</v>
      </c>
      <c r="C292" s="0" t="s">
        <v>4001</v>
      </c>
      <c r="D292" s="0" t="s">
        <v>3801</v>
      </c>
      <c r="E292" s="0" t="s">
        <v>4004</v>
      </c>
      <c r="F292" s="0" t="s">
        <v>3209</v>
      </c>
      <c r="G292" s="0" t="s">
        <v>4005</v>
      </c>
    </row>
    <row customHeight="1" ht="11.25">
      <c r="A293" s="373" t="s">
        <v>14</v>
      </c>
      <c r="B293" s="0" t="s">
        <v>4000</v>
      </c>
      <c r="C293" s="0" t="s">
        <v>4001</v>
      </c>
      <c r="D293" s="0" t="s">
        <v>4006</v>
      </c>
      <c r="E293" s="0" t="s">
        <v>4007</v>
      </c>
      <c r="F293" s="0" t="s">
        <v>3209</v>
      </c>
      <c r="G293" s="0" t="s">
        <v>4008</v>
      </c>
    </row>
    <row customHeight="1" ht="11.25">
      <c r="A294" s="373" t="s">
        <v>14</v>
      </c>
      <c r="B294" s="0" t="s">
        <v>4000</v>
      </c>
      <c r="C294" s="0" t="s">
        <v>4001</v>
      </c>
      <c r="D294" s="0" t="s">
        <v>4009</v>
      </c>
      <c r="E294" s="0" t="s">
        <v>4010</v>
      </c>
      <c r="F294" s="0" t="s">
        <v>3209</v>
      </c>
      <c r="G294" s="0" t="s">
        <v>4011</v>
      </c>
    </row>
    <row customHeight="1" ht="11.25">
      <c r="A295" s="373" t="s">
        <v>14</v>
      </c>
      <c r="B295" s="0" t="s">
        <v>4000</v>
      </c>
      <c r="C295" s="0" t="s">
        <v>4001</v>
      </c>
      <c r="D295" s="0" t="s">
        <v>4012</v>
      </c>
      <c r="E295" s="0" t="s">
        <v>4013</v>
      </c>
      <c r="F295" s="0" t="s">
        <v>3209</v>
      </c>
      <c r="G295" s="0" t="s">
        <v>4014</v>
      </c>
    </row>
    <row customHeight="1" ht="11.25">
      <c r="A296" s="373" t="s">
        <v>14</v>
      </c>
      <c r="B296" s="0" t="s">
        <v>4000</v>
      </c>
      <c r="C296" s="0" t="s">
        <v>4001</v>
      </c>
      <c r="D296" s="0" t="s">
        <v>4000</v>
      </c>
      <c r="E296" s="0" t="s">
        <v>4001</v>
      </c>
      <c r="F296" s="0" t="s">
        <v>3206</v>
      </c>
      <c r="G296" s="0" t="s">
        <v>4015</v>
      </c>
    </row>
    <row customHeight="1" ht="11.25">
      <c r="A297" s="373" t="s">
        <v>14</v>
      </c>
      <c r="B297" s="0" t="s">
        <v>4000</v>
      </c>
      <c r="C297" s="0" t="s">
        <v>4001</v>
      </c>
      <c r="D297" s="0" t="s">
        <v>4016</v>
      </c>
      <c r="E297" s="0" t="s">
        <v>4017</v>
      </c>
      <c r="F297" s="0" t="s">
        <v>3209</v>
      </c>
      <c r="G297" s="0" t="s">
        <v>4018</v>
      </c>
    </row>
    <row customHeight="1" ht="11.25">
      <c r="A298" s="373" t="s">
        <v>14</v>
      </c>
      <c r="B298" s="0" t="s">
        <v>4000</v>
      </c>
      <c r="C298" s="0" t="s">
        <v>4001</v>
      </c>
      <c r="D298" s="0" t="s">
        <v>4019</v>
      </c>
      <c r="E298" s="0" t="s">
        <v>4020</v>
      </c>
      <c r="F298" s="0" t="s">
        <v>3209</v>
      </c>
      <c r="G298" s="0" t="s">
        <v>4021</v>
      </c>
    </row>
    <row customHeight="1" ht="11.25">
      <c r="A299" s="373" t="s">
        <v>14</v>
      </c>
      <c r="B299" s="0" t="s">
        <v>4022</v>
      </c>
      <c r="C299" s="0" t="s">
        <v>4023</v>
      </c>
      <c r="D299" s="0" t="s">
        <v>3801</v>
      </c>
      <c r="E299" s="0" t="s">
        <v>4024</v>
      </c>
      <c r="F299" s="0" t="s">
        <v>3209</v>
      </c>
      <c r="G299" s="0" t="s">
        <v>4025</v>
      </c>
    </row>
    <row customHeight="1" ht="11.25">
      <c r="A300" s="373" t="s">
        <v>14</v>
      </c>
      <c r="B300" s="0" t="s">
        <v>4022</v>
      </c>
      <c r="C300" s="0" t="s">
        <v>4023</v>
      </c>
      <c r="D300" s="0" t="s">
        <v>4026</v>
      </c>
      <c r="E300" s="0" t="s">
        <v>4027</v>
      </c>
      <c r="F300" s="0" t="s">
        <v>3209</v>
      </c>
      <c r="G300" s="0" t="s">
        <v>4028</v>
      </c>
    </row>
    <row customHeight="1" ht="11.25">
      <c r="A301" s="373" t="s">
        <v>14</v>
      </c>
      <c r="B301" s="0" t="s">
        <v>4022</v>
      </c>
      <c r="C301" s="0" t="s">
        <v>4023</v>
      </c>
      <c r="D301" s="0" t="s">
        <v>4029</v>
      </c>
      <c r="E301" s="0" t="s">
        <v>4030</v>
      </c>
      <c r="F301" s="0" t="s">
        <v>3209</v>
      </c>
      <c r="G301" s="0" t="s">
        <v>4031</v>
      </c>
    </row>
    <row customHeight="1" ht="11.25">
      <c r="A302" s="373" t="s">
        <v>14</v>
      </c>
      <c r="B302" s="0" t="s">
        <v>4022</v>
      </c>
      <c r="C302" s="0" t="s">
        <v>4023</v>
      </c>
      <c r="D302" s="0" t="s">
        <v>4032</v>
      </c>
      <c r="E302" s="0" t="s">
        <v>4033</v>
      </c>
      <c r="F302" s="0" t="s">
        <v>3627</v>
      </c>
      <c r="G302" s="0" t="s">
        <v>4034</v>
      </c>
    </row>
    <row customHeight="1" ht="11.25">
      <c r="A303" s="373" t="s">
        <v>14</v>
      </c>
      <c r="B303" s="0" t="s">
        <v>4022</v>
      </c>
      <c r="C303" s="0" t="s">
        <v>4023</v>
      </c>
      <c r="D303" s="0" t="s">
        <v>4035</v>
      </c>
      <c r="E303" s="0" t="s">
        <v>4036</v>
      </c>
      <c r="F303" s="0" t="s">
        <v>3209</v>
      </c>
      <c r="G303" s="0" t="s">
        <v>4037</v>
      </c>
    </row>
    <row customHeight="1" ht="11.25">
      <c r="A304" s="373" t="s">
        <v>14</v>
      </c>
      <c r="B304" s="0" t="s">
        <v>4022</v>
      </c>
      <c r="C304" s="0" t="s">
        <v>4023</v>
      </c>
      <c r="D304" s="0" t="s">
        <v>4038</v>
      </c>
      <c r="E304" s="0" t="s">
        <v>4039</v>
      </c>
      <c r="F304" s="0" t="s">
        <v>3209</v>
      </c>
      <c r="G304" s="0" t="s">
        <v>4040</v>
      </c>
    </row>
    <row customHeight="1" ht="11.25">
      <c r="A305" s="373" t="s">
        <v>14</v>
      </c>
      <c r="B305" s="0" t="s">
        <v>4022</v>
      </c>
      <c r="C305" s="0" t="s">
        <v>4023</v>
      </c>
      <c r="D305" s="0" t="s">
        <v>3321</v>
      </c>
      <c r="E305" s="0" t="s">
        <v>4041</v>
      </c>
      <c r="F305" s="0" t="s">
        <v>3209</v>
      </c>
      <c r="G305" s="0" t="s">
        <v>4042</v>
      </c>
    </row>
    <row customHeight="1" ht="11.25">
      <c r="A306" s="373" t="s">
        <v>14</v>
      </c>
      <c r="B306" s="0" t="s">
        <v>4022</v>
      </c>
      <c r="C306" s="0" t="s">
        <v>4023</v>
      </c>
      <c r="D306" s="0" t="s">
        <v>4043</v>
      </c>
      <c r="E306" s="0" t="s">
        <v>4044</v>
      </c>
      <c r="F306" s="0" t="s">
        <v>3209</v>
      </c>
      <c r="G306" s="0" t="s">
        <v>4045</v>
      </c>
    </row>
    <row customHeight="1" ht="11.25">
      <c r="A307" s="373" t="s">
        <v>14</v>
      </c>
      <c r="B307" s="0" t="s">
        <v>4022</v>
      </c>
      <c r="C307" s="0" t="s">
        <v>4023</v>
      </c>
      <c r="D307" s="0" t="s">
        <v>4046</v>
      </c>
      <c r="E307" s="0" t="s">
        <v>4047</v>
      </c>
      <c r="F307" s="0" t="s">
        <v>3209</v>
      </c>
      <c r="G307" s="0" t="s">
        <v>4048</v>
      </c>
    </row>
    <row customHeight="1" ht="11.25">
      <c r="A308" s="373" t="s">
        <v>14</v>
      </c>
      <c r="B308" s="0" t="s">
        <v>4022</v>
      </c>
      <c r="C308" s="0" t="s">
        <v>4023</v>
      </c>
      <c r="D308" s="0" t="s">
        <v>4049</v>
      </c>
      <c r="E308" s="0" t="s">
        <v>4050</v>
      </c>
      <c r="F308" s="0" t="s">
        <v>3209</v>
      </c>
      <c r="G308" s="0" t="s">
        <v>4051</v>
      </c>
    </row>
    <row customHeight="1" ht="11.25">
      <c r="A309" s="373" t="s">
        <v>14</v>
      </c>
      <c r="B309" s="0" t="s">
        <v>4022</v>
      </c>
      <c r="C309" s="0" t="s">
        <v>4023</v>
      </c>
      <c r="D309" s="0" t="s">
        <v>4052</v>
      </c>
      <c r="E309" s="0" t="s">
        <v>4053</v>
      </c>
      <c r="F309" s="0" t="s">
        <v>3209</v>
      </c>
      <c r="G309" s="0" t="s">
        <v>4054</v>
      </c>
    </row>
    <row customHeight="1" ht="11.25">
      <c r="A310" s="373" t="s">
        <v>14</v>
      </c>
      <c r="B310" s="0" t="s">
        <v>4022</v>
      </c>
      <c r="C310" s="0" t="s">
        <v>4023</v>
      </c>
      <c r="D310" s="0" t="s">
        <v>4022</v>
      </c>
      <c r="E310" s="0" t="s">
        <v>4023</v>
      </c>
      <c r="F310" s="0" t="s">
        <v>3206</v>
      </c>
      <c r="G310" s="0" t="s">
        <v>4055</v>
      </c>
    </row>
    <row customHeight="1" ht="11.25">
      <c r="A311" s="373" t="s">
        <v>14</v>
      </c>
      <c r="B311" s="0" t="s">
        <v>4022</v>
      </c>
      <c r="C311" s="0" t="s">
        <v>4023</v>
      </c>
      <c r="D311" s="0" t="s">
        <v>4056</v>
      </c>
      <c r="E311" s="0" t="s">
        <v>4057</v>
      </c>
      <c r="F311" s="0" t="s">
        <v>3209</v>
      </c>
      <c r="G311" s="0" t="s">
        <v>4058</v>
      </c>
    </row>
    <row customHeight="1" ht="11.25">
      <c r="A312" s="373" t="s">
        <v>14</v>
      </c>
      <c r="B312" s="0" t="s">
        <v>4059</v>
      </c>
      <c r="C312" s="0" t="s">
        <v>4060</v>
      </c>
      <c r="D312" s="0" t="s">
        <v>4061</v>
      </c>
      <c r="E312" s="0" t="s">
        <v>4062</v>
      </c>
      <c r="F312" s="0" t="s">
        <v>3209</v>
      </c>
      <c r="G312" s="0" t="s">
        <v>4063</v>
      </c>
    </row>
    <row customHeight="1" ht="11.25">
      <c r="A313" s="373" t="s">
        <v>14</v>
      </c>
      <c r="B313" s="0" t="s">
        <v>4059</v>
      </c>
      <c r="C313" s="0" t="s">
        <v>4060</v>
      </c>
      <c r="D313" s="0" t="s">
        <v>3533</v>
      </c>
      <c r="E313" s="0" t="s">
        <v>4064</v>
      </c>
      <c r="F313" s="0" t="s">
        <v>3209</v>
      </c>
      <c r="G313" s="0" t="s">
        <v>4065</v>
      </c>
    </row>
    <row customHeight="1" ht="11.25">
      <c r="A314" s="373" t="s">
        <v>14</v>
      </c>
      <c r="B314" s="0" t="s">
        <v>4059</v>
      </c>
      <c r="C314" s="0" t="s">
        <v>4060</v>
      </c>
      <c r="D314" s="0" t="s">
        <v>4066</v>
      </c>
      <c r="E314" s="0" t="s">
        <v>4067</v>
      </c>
      <c r="F314" s="0" t="s">
        <v>3209</v>
      </c>
      <c r="G314" s="0" t="s">
        <v>4068</v>
      </c>
    </row>
    <row customHeight="1" ht="11.25">
      <c r="A315" s="373" t="s">
        <v>14</v>
      </c>
      <c r="B315" s="0" t="s">
        <v>4059</v>
      </c>
      <c r="C315" s="0" t="s">
        <v>4060</v>
      </c>
      <c r="D315" s="0" t="s">
        <v>3569</v>
      </c>
      <c r="E315" s="0" t="s">
        <v>4069</v>
      </c>
      <c r="F315" s="0" t="s">
        <v>3209</v>
      </c>
      <c r="G315" s="0" t="s">
        <v>4070</v>
      </c>
    </row>
    <row customHeight="1" ht="11.25">
      <c r="A316" s="373" t="s">
        <v>14</v>
      </c>
      <c r="B316" s="0" t="s">
        <v>4059</v>
      </c>
      <c r="C316" s="0" t="s">
        <v>4060</v>
      </c>
      <c r="D316" s="0" t="s">
        <v>3543</v>
      </c>
      <c r="E316" s="0" t="s">
        <v>4071</v>
      </c>
      <c r="F316" s="0" t="s">
        <v>3209</v>
      </c>
      <c r="G316" s="0" t="s">
        <v>4072</v>
      </c>
    </row>
    <row customHeight="1" ht="11.25">
      <c r="A317" s="373" t="s">
        <v>14</v>
      </c>
      <c r="B317" s="0" t="s">
        <v>4059</v>
      </c>
      <c r="C317" s="0" t="s">
        <v>4060</v>
      </c>
      <c r="D317" s="0" t="s">
        <v>4073</v>
      </c>
      <c r="E317" s="0" t="s">
        <v>4074</v>
      </c>
      <c r="F317" s="0" t="s">
        <v>3209</v>
      </c>
      <c r="G317" s="0" t="s">
        <v>4075</v>
      </c>
    </row>
    <row customHeight="1" ht="11.25">
      <c r="A318" s="373" t="s">
        <v>14</v>
      </c>
      <c r="B318" s="0" t="s">
        <v>4059</v>
      </c>
      <c r="C318" s="0" t="s">
        <v>4060</v>
      </c>
      <c r="D318" s="0" t="s">
        <v>4076</v>
      </c>
      <c r="E318" s="0" t="s">
        <v>4077</v>
      </c>
      <c r="F318" s="0" t="s">
        <v>3209</v>
      </c>
      <c r="G318" s="0" t="s">
        <v>4078</v>
      </c>
    </row>
    <row customHeight="1" ht="11.25">
      <c r="A319" s="373" t="s">
        <v>14</v>
      </c>
      <c r="B319" s="0" t="s">
        <v>4059</v>
      </c>
      <c r="C319" s="0" t="s">
        <v>4060</v>
      </c>
      <c r="D319" s="0" t="s">
        <v>4079</v>
      </c>
      <c r="E319" s="0" t="s">
        <v>4080</v>
      </c>
      <c r="F319" s="0" t="s">
        <v>3209</v>
      </c>
      <c r="G319" s="0" t="s">
        <v>4081</v>
      </c>
    </row>
    <row customHeight="1" ht="11.25">
      <c r="A320" s="373" t="s">
        <v>14</v>
      </c>
      <c r="B320" s="0" t="s">
        <v>4059</v>
      </c>
      <c r="C320" s="0" t="s">
        <v>4060</v>
      </c>
      <c r="D320" s="0" t="s">
        <v>4059</v>
      </c>
      <c r="E320" s="0" t="s">
        <v>4060</v>
      </c>
      <c r="F320" s="0" t="s">
        <v>3206</v>
      </c>
      <c r="G320" s="0" t="s">
        <v>4082</v>
      </c>
    </row>
    <row customHeight="1" ht="11.25">
      <c r="A321" s="373" t="s">
        <v>14</v>
      </c>
      <c r="B321" s="0" t="s">
        <v>4059</v>
      </c>
      <c r="C321" s="0" t="s">
        <v>4060</v>
      </c>
      <c r="D321" s="0" t="s">
        <v>3882</v>
      </c>
      <c r="E321" s="0" t="s">
        <v>4083</v>
      </c>
      <c r="F321" s="0" t="s">
        <v>3209</v>
      </c>
      <c r="G321" s="0" t="s">
        <v>4084</v>
      </c>
    </row>
    <row customHeight="1" ht="11.25">
      <c r="A322" s="373" t="s">
        <v>14</v>
      </c>
      <c r="B322" s="0" t="s">
        <v>4059</v>
      </c>
      <c r="C322" s="0" t="s">
        <v>4060</v>
      </c>
      <c r="D322" s="0" t="s">
        <v>4085</v>
      </c>
      <c r="E322" s="0" t="s">
        <v>4086</v>
      </c>
      <c r="F322" s="0" t="s">
        <v>3209</v>
      </c>
      <c r="G322" s="0" t="s">
        <v>4087</v>
      </c>
    </row>
    <row customHeight="1" ht="11.25">
      <c r="A323" s="373" t="s">
        <v>14</v>
      </c>
      <c r="B323" s="0" t="s">
        <v>4059</v>
      </c>
      <c r="C323" s="0" t="s">
        <v>4060</v>
      </c>
      <c r="D323" s="0" t="s">
        <v>3742</v>
      </c>
      <c r="E323" s="0" t="s">
        <v>4088</v>
      </c>
      <c r="F323" s="0" t="s">
        <v>3209</v>
      </c>
      <c r="G323" s="0" t="s">
        <v>4089</v>
      </c>
    </row>
    <row customHeight="1" ht="11.25">
      <c r="A324" s="373" t="s">
        <v>14</v>
      </c>
      <c r="B324" s="0" t="s">
        <v>4090</v>
      </c>
      <c r="C324" s="0" t="s">
        <v>4091</v>
      </c>
      <c r="D324" s="0" t="s">
        <v>4092</v>
      </c>
      <c r="E324" s="0" t="s">
        <v>4093</v>
      </c>
      <c r="F324" s="0" t="s">
        <v>3209</v>
      </c>
      <c r="G324" s="0" t="s">
        <v>4094</v>
      </c>
    </row>
    <row customHeight="1" ht="11.25">
      <c r="A325" s="373" t="s">
        <v>14</v>
      </c>
      <c r="B325" s="0" t="s">
        <v>4090</v>
      </c>
      <c r="C325" s="0" t="s">
        <v>4091</v>
      </c>
      <c r="D325" s="0" t="s">
        <v>3446</v>
      </c>
      <c r="E325" s="0" t="s">
        <v>4095</v>
      </c>
      <c r="F325" s="0" t="s">
        <v>3209</v>
      </c>
      <c r="G325" s="0" t="s">
        <v>4096</v>
      </c>
    </row>
    <row customHeight="1" ht="11.25">
      <c r="A326" s="373" t="s">
        <v>14</v>
      </c>
      <c r="B326" s="0" t="s">
        <v>4090</v>
      </c>
      <c r="C326" s="0" t="s">
        <v>4091</v>
      </c>
      <c r="D326" s="0" t="s">
        <v>4097</v>
      </c>
      <c r="E326" s="0" t="s">
        <v>4098</v>
      </c>
      <c r="F326" s="0" t="s">
        <v>3209</v>
      </c>
      <c r="G326" s="0" t="s">
        <v>4099</v>
      </c>
    </row>
    <row customHeight="1" ht="11.25">
      <c r="A327" s="373" t="s">
        <v>14</v>
      </c>
      <c r="B327" s="0" t="s">
        <v>4090</v>
      </c>
      <c r="C327" s="0" t="s">
        <v>4091</v>
      </c>
      <c r="D327" s="0" t="s">
        <v>4100</v>
      </c>
      <c r="E327" s="0" t="s">
        <v>4101</v>
      </c>
      <c r="F327" s="0" t="s">
        <v>3209</v>
      </c>
      <c r="G327" s="0" t="s">
        <v>4102</v>
      </c>
    </row>
    <row customHeight="1" ht="11.25">
      <c r="A328" s="373" t="s">
        <v>14</v>
      </c>
      <c r="B328" s="0" t="s">
        <v>4090</v>
      </c>
      <c r="C328" s="0" t="s">
        <v>4091</v>
      </c>
      <c r="D328" s="0" t="s">
        <v>4103</v>
      </c>
      <c r="E328" s="0" t="s">
        <v>4104</v>
      </c>
      <c r="F328" s="0" t="s">
        <v>3209</v>
      </c>
      <c r="G328" s="0" t="s">
        <v>4105</v>
      </c>
    </row>
    <row customHeight="1" ht="11.25">
      <c r="A329" s="373" t="s">
        <v>14</v>
      </c>
      <c r="B329" s="0" t="s">
        <v>4090</v>
      </c>
      <c r="C329" s="0" t="s">
        <v>4091</v>
      </c>
      <c r="D329" s="0" t="s">
        <v>4090</v>
      </c>
      <c r="E329" s="0" t="s">
        <v>4091</v>
      </c>
      <c r="F329" s="0" t="s">
        <v>3206</v>
      </c>
      <c r="G329" s="0" t="s">
        <v>4106</v>
      </c>
    </row>
    <row customHeight="1" ht="11.25">
      <c r="A330" s="373" t="s">
        <v>14</v>
      </c>
      <c r="B330" s="0" t="s">
        <v>4090</v>
      </c>
      <c r="C330" s="0" t="s">
        <v>4091</v>
      </c>
      <c r="D330" s="0" t="s">
        <v>4107</v>
      </c>
      <c r="E330" s="0" t="s">
        <v>4108</v>
      </c>
      <c r="F330" s="0" t="s">
        <v>3209</v>
      </c>
      <c r="G330" s="0" t="s">
        <v>4109</v>
      </c>
    </row>
    <row customHeight="1" ht="11.25">
      <c r="A331" s="373" t="s">
        <v>14</v>
      </c>
      <c r="B331" s="0" t="s">
        <v>4090</v>
      </c>
      <c r="C331" s="0" t="s">
        <v>4091</v>
      </c>
      <c r="D331" s="0" t="s">
        <v>4110</v>
      </c>
      <c r="E331" s="0" t="s">
        <v>4111</v>
      </c>
      <c r="F331" s="0" t="s">
        <v>3209</v>
      </c>
      <c r="G331" s="0" t="s">
        <v>4112</v>
      </c>
    </row>
    <row customHeight="1" ht="11.25">
      <c r="A332" s="373" t="s">
        <v>14</v>
      </c>
      <c r="B332" s="0" t="s">
        <v>4090</v>
      </c>
      <c r="C332" s="0" t="s">
        <v>4091</v>
      </c>
      <c r="D332" s="0" t="s">
        <v>4113</v>
      </c>
      <c r="E332" s="0" t="s">
        <v>4114</v>
      </c>
      <c r="F332" s="0" t="s">
        <v>3209</v>
      </c>
      <c r="G332" s="0" t="s">
        <v>4115</v>
      </c>
    </row>
    <row customHeight="1" ht="11.25">
      <c r="A333" s="373" t="s">
        <v>14</v>
      </c>
      <c r="B333" s="0" t="s">
        <v>4090</v>
      </c>
      <c r="C333" s="0" t="s">
        <v>4091</v>
      </c>
      <c r="D333" s="0" t="s">
        <v>4116</v>
      </c>
      <c r="E333" s="0" t="s">
        <v>4117</v>
      </c>
      <c r="F333" s="0" t="s">
        <v>3209</v>
      </c>
      <c r="G333" s="0" t="s">
        <v>4118</v>
      </c>
    </row>
    <row customHeight="1" ht="11.25">
      <c r="A334" s="373" t="s">
        <v>14</v>
      </c>
      <c r="B334" s="0" t="s">
        <v>4119</v>
      </c>
      <c r="C334" s="0" t="s">
        <v>4120</v>
      </c>
      <c r="D334" s="0" t="s">
        <v>4121</v>
      </c>
      <c r="E334" s="0" t="s">
        <v>4122</v>
      </c>
      <c r="F334" s="0" t="s">
        <v>3209</v>
      </c>
      <c r="G334" s="0" t="s">
        <v>4123</v>
      </c>
    </row>
    <row customHeight="1" ht="11.25">
      <c r="A335" s="373" t="s">
        <v>14</v>
      </c>
      <c r="B335" s="0" t="s">
        <v>4119</v>
      </c>
      <c r="C335" s="0" t="s">
        <v>4120</v>
      </c>
      <c r="D335" s="0" t="s">
        <v>4124</v>
      </c>
      <c r="E335" s="0" t="s">
        <v>4125</v>
      </c>
      <c r="F335" s="0" t="s">
        <v>3209</v>
      </c>
      <c r="G335" s="0" t="s">
        <v>4126</v>
      </c>
    </row>
    <row customHeight="1" ht="11.25">
      <c r="A336" s="373" t="s">
        <v>14</v>
      </c>
      <c r="B336" s="0" t="s">
        <v>4119</v>
      </c>
      <c r="C336" s="0" t="s">
        <v>4120</v>
      </c>
      <c r="D336" s="0" t="s">
        <v>4127</v>
      </c>
      <c r="E336" s="0" t="s">
        <v>4128</v>
      </c>
      <c r="F336" s="0" t="s">
        <v>3209</v>
      </c>
      <c r="G336" s="0" t="s">
        <v>4129</v>
      </c>
    </row>
    <row customHeight="1" ht="11.25">
      <c r="A337" s="373" t="s">
        <v>14</v>
      </c>
      <c r="B337" s="0" t="s">
        <v>4119</v>
      </c>
      <c r="C337" s="0" t="s">
        <v>4120</v>
      </c>
      <c r="D337" s="0" t="s">
        <v>4130</v>
      </c>
      <c r="E337" s="0" t="s">
        <v>4131</v>
      </c>
      <c r="F337" s="0" t="s">
        <v>3209</v>
      </c>
      <c r="G337" s="0" t="s">
        <v>4132</v>
      </c>
    </row>
    <row customHeight="1" ht="11.25">
      <c r="A338" s="373" t="s">
        <v>14</v>
      </c>
      <c r="B338" s="0" t="s">
        <v>4119</v>
      </c>
      <c r="C338" s="0" t="s">
        <v>4120</v>
      </c>
      <c r="D338" s="0" t="s">
        <v>3702</v>
      </c>
      <c r="E338" s="0" t="s">
        <v>4133</v>
      </c>
      <c r="F338" s="0" t="s">
        <v>3209</v>
      </c>
      <c r="G338" s="0" t="s">
        <v>4134</v>
      </c>
    </row>
    <row customHeight="1" ht="11.25">
      <c r="A339" s="373" t="s">
        <v>14</v>
      </c>
      <c r="B339" s="0" t="s">
        <v>4119</v>
      </c>
      <c r="C339" s="0" t="s">
        <v>4120</v>
      </c>
      <c r="D339" s="0" t="s">
        <v>4135</v>
      </c>
      <c r="E339" s="0" t="s">
        <v>4136</v>
      </c>
      <c r="F339" s="0" t="s">
        <v>3209</v>
      </c>
      <c r="G339" s="0" t="s">
        <v>4137</v>
      </c>
    </row>
    <row customHeight="1" ht="11.25">
      <c r="A340" s="373" t="s">
        <v>14</v>
      </c>
      <c r="B340" s="0" t="s">
        <v>4119</v>
      </c>
      <c r="C340" s="0" t="s">
        <v>4120</v>
      </c>
      <c r="D340" s="0" t="s">
        <v>4138</v>
      </c>
      <c r="E340" s="0" t="s">
        <v>4139</v>
      </c>
      <c r="F340" s="0" t="s">
        <v>3209</v>
      </c>
      <c r="G340" s="0" t="s">
        <v>4140</v>
      </c>
    </row>
    <row customHeight="1" ht="11.25">
      <c r="A341" s="373" t="s">
        <v>14</v>
      </c>
      <c r="B341" s="0" t="s">
        <v>4119</v>
      </c>
      <c r="C341" s="0" t="s">
        <v>4120</v>
      </c>
      <c r="D341" s="0" t="s">
        <v>4119</v>
      </c>
      <c r="E341" s="0" t="s">
        <v>4120</v>
      </c>
      <c r="F341" s="0" t="s">
        <v>3206</v>
      </c>
      <c r="G341" s="0" t="s">
        <v>4141</v>
      </c>
    </row>
    <row customHeight="1" ht="11.25">
      <c r="A342" s="373" t="s">
        <v>14</v>
      </c>
      <c r="B342" s="0" t="s">
        <v>4119</v>
      </c>
      <c r="C342" s="0" t="s">
        <v>4120</v>
      </c>
      <c r="D342" s="0" t="s">
        <v>4142</v>
      </c>
      <c r="E342" s="0" t="s">
        <v>4143</v>
      </c>
      <c r="F342" s="0" t="s">
        <v>3248</v>
      </c>
      <c r="G342" s="0" t="s">
        <v>4144</v>
      </c>
    </row>
    <row customHeight="1" ht="11.25">
      <c r="A343" s="373" t="s">
        <v>14</v>
      </c>
      <c r="B343" s="0" t="s">
        <v>4119</v>
      </c>
      <c r="C343" s="0" t="s">
        <v>4120</v>
      </c>
      <c r="D343" s="0" t="s">
        <v>4145</v>
      </c>
      <c r="E343" s="0" t="s">
        <v>4146</v>
      </c>
      <c r="F343" s="0" t="s">
        <v>3209</v>
      </c>
      <c r="G343" s="0" t="s">
        <v>4147</v>
      </c>
    </row>
    <row customHeight="1" ht="11.25">
      <c r="A344" s="373" t="s">
        <v>14</v>
      </c>
      <c r="B344" s="0" t="s">
        <v>4119</v>
      </c>
      <c r="C344" s="0" t="s">
        <v>4120</v>
      </c>
      <c r="D344" s="0" t="s">
        <v>4148</v>
      </c>
      <c r="E344" s="0" t="s">
        <v>4149</v>
      </c>
      <c r="F344" s="0" t="s">
        <v>3209</v>
      </c>
      <c r="G344" s="0" t="s">
        <v>4150</v>
      </c>
    </row>
    <row customHeight="1" ht="11.25">
      <c r="A345" s="373" t="s">
        <v>14</v>
      </c>
      <c r="B345" s="0" t="s">
        <v>4151</v>
      </c>
      <c r="C345" s="0" t="s">
        <v>4152</v>
      </c>
      <c r="D345" s="0" t="s">
        <v>4153</v>
      </c>
      <c r="E345" s="0" t="s">
        <v>4154</v>
      </c>
      <c r="F345" s="0" t="s">
        <v>3209</v>
      </c>
      <c r="G345" s="0" t="s">
        <v>4155</v>
      </c>
    </row>
    <row customHeight="1" ht="11.25">
      <c r="A346" s="373" t="s">
        <v>14</v>
      </c>
      <c r="B346" s="0" t="s">
        <v>4151</v>
      </c>
      <c r="C346" s="0" t="s">
        <v>4152</v>
      </c>
      <c r="D346" s="0" t="s">
        <v>4156</v>
      </c>
      <c r="E346" s="0" t="s">
        <v>4157</v>
      </c>
      <c r="F346" s="0" t="s">
        <v>3209</v>
      </c>
      <c r="G346" s="0" t="s">
        <v>4158</v>
      </c>
    </row>
    <row customHeight="1" ht="11.25">
      <c r="A347" s="373" t="s">
        <v>14</v>
      </c>
      <c r="B347" s="0" t="s">
        <v>4151</v>
      </c>
      <c r="C347" s="0" t="s">
        <v>4152</v>
      </c>
      <c r="D347" s="0" t="s">
        <v>3597</v>
      </c>
      <c r="E347" s="0" t="s">
        <v>4159</v>
      </c>
      <c r="F347" s="0" t="s">
        <v>3209</v>
      </c>
      <c r="G347" s="0" t="s">
        <v>4160</v>
      </c>
    </row>
    <row customHeight="1" ht="11.25">
      <c r="A348" s="373" t="s">
        <v>14</v>
      </c>
      <c r="B348" s="0" t="s">
        <v>4151</v>
      </c>
      <c r="C348" s="0" t="s">
        <v>4152</v>
      </c>
      <c r="D348" s="0" t="s">
        <v>3672</v>
      </c>
      <c r="E348" s="0" t="s">
        <v>4161</v>
      </c>
      <c r="F348" s="0" t="s">
        <v>3209</v>
      </c>
      <c r="G348" s="0" t="s">
        <v>4162</v>
      </c>
    </row>
    <row customHeight="1" ht="11.25">
      <c r="A349" s="373" t="s">
        <v>14</v>
      </c>
      <c r="B349" s="0" t="s">
        <v>4151</v>
      </c>
      <c r="C349" s="0" t="s">
        <v>4152</v>
      </c>
      <c r="D349" s="0" t="s">
        <v>4163</v>
      </c>
      <c r="E349" s="0" t="s">
        <v>4164</v>
      </c>
      <c r="F349" s="0" t="s">
        <v>3209</v>
      </c>
      <c r="G349" s="0" t="s">
        <v>4165</v>
      </c>
    </row>
    <row customHeight="1" ht="11.25">
      <c r="A350" s="373" t="s">
        <v>14</v>
      </c>
      <c r="B350" s="0" t="s">
        <v>4151</v>
      </c>
      <c r="C350" s="0" t="s">
        <v>4152</v>
      </c>
      <c r="D350" s="0" t="s">
        <v>4166</v>
      </c>
      <c r="E350" s="0" t="s">
        <v>4167</v>
      </c>
      <c r="F350" s="0" t="s">
        <v>3209</v>
      </c>
      <c r="G350" s="0" t="s">
        <v>4168</v>
      </c>
    </row>
    <row customHeight="1" ht="11.25">
      <c r="A351" s="373" t="s">
        <v>14</v>
      </c>
      <c r="B351" s="0" t="s">
        <v>4151</v>
      </c>
      <c r="C351" s="0" t="s">
        <v>4152</v>
      </c>
      <c r="D351" s="0" t="s">
        <v>3675</v>
      </c>
      <c r="E351" s="0" t="s">
        <v>4169</v>
      </c>
      <c r="F351" s="0" t="s">
        <v>3209</v>
      </c>
      <c r="G351" s="0" t="s">
        <v>4170</v>
      </c>
    </row>
    <row customHeight="1" ht="11.25">
      <c r="A352" s="373" t="s">
        <v>14</v>
      </c>
      <c r="B352" s="0" t="s">
        <v>4151</v>
      </c>
      <c r="C352" s="0" t="s">
        <v>4152</v>
      </c>
      <c r="D352" s="0" t="s">
        <v>4171</v>
      </c>
      <c r="E352" s="0" t="s">
        <v>4172</v>
      </c>
      <c r="F352" s="0" t="s">
        <v>3209</v>
      </c>
      <c r="G352" s="0" t="s">
        <v>4173</v>
      </c>
    </row>
    <row customHeight="1" ht="11.25">
      <c r="A353" s="373" t="s">
        <v>14</v>
      </c>
      <c r="B353" s="0" t="s">
        <v>4151</v>
      </c>
      <c r="C353" s="0" t="s">
        <v>4152</v>
      </c>
      <c r="D353" s="0" t="s">
        <v>4174</v>
      </c>
      <c r="E353" s="0" t="s">
        <v>4175</v>
      </c>
      <c r="F353" s="0" t="s">
        <v>3209</v>
      </c>
      <c r="G353" s="0" t="s">
        <v>4176</v>
      </c>
    </row>
    <row customHeight="1" ht="11.25">
      <c r="A354" s="373" t="s">
        <v>14</v>
      </c>
      <c r="B354" s="0" t="s">
        <v>4151</v>
      </c>
      <c r="C354" s="0" t="s">
        <v>4152</v>
      </c>
      <c r="D354" s="0" t="s">
        <v>4151</v>
      </c>
      <c r="E354" s="0" t="s">
        <v>4152</v>
      </c>
      <c r="F354" s="0" t="s">
        <v>3206</v>
      </c>
      <c r="G354" s="0" t="s">
        <v>4177</v>
      </c>
    </row>
    <row customHeight="1" ht="11.25">
      <c r="A355" s="373" t="s">
        <v>14</v>
      </c>
      <c r="B355" s="0" t="s">
        <v>4151</v>
      </c>
      <c r="C355" s="0" t="s">
        <v>4152</v>
      </c>
      <c r="D355" s="0" t="s">
        <v>4178</v>
      </c>
      <c r="E355" s="0" t="s">
        <v>4179</v>
      </c>
      <c r="F355" s="0" t="s">
        <v>3209</v>
      </c>
      <c r="G355" s="0" t="s">
        <v>4180</v>
      </c>
    </row>
    <row customHeight="1" ht="11.25">
      <c r="A356" s="373" t="s">
        <v>14</v>
      </c>
      <c r="B356" s="0" t="s">
        <v>4181</v>
      </c>
      <c r="C356" s="0" t="s">
        <v>4182</v>
      </c>
      <c r="D356" s="0" t="s">
        <v>4183</v>
      </c>
      <c r="E356" s="0" t="s">
        <v>4184</v>
      </c>
      <c r="F356" s="0" t="s">
        <v>3209</v>
      </c>
      <c r="G356" s="0" t="s">
        <v>4185</v>
      </c>
    </row>
    <row customHeight="1" ht="11.25">
      <c r="A357" s="373" t="s">
        <v>14</v>
      </c>
      <c r="B357" s="0" t="s">
        <v>4181</v>
      </c>
      <c r="C357" s="0" t="s">
        <v>4182</v>
      </c>
      <c r="D357" s="0" t="s">
        <v>4186</v>
      </c>
      <c r="E357" s="0" t="s">
        <v>4187</v>
      </c>
      <c r="F357" s="0" t="s">
        <v>3209</v>
      </c>
      <c r="G357" s="0" t="s">
        <v>4188</v>
      </c>
    </row>
    <row customHeight="1" ht="11.25">
      <c r="A358" s="373" t="s">
        <v>14</v>
      </c>
      <c r="B358" s="0" t="s">
        <v>4181</v>
      </c>
      <c r="C358" s="0" t="s">
        <v>4182</v>
      </c>
      <c r="D358" s="0" t="s">
        <v>4189</v>
      </c>
      <c r="E358" s="0" t="s">
        <v>4190</v>
      </c>
      <c r="F358" s="0" t="s">
        <v>3209</v>
      </c>
      <c r="G358" s="0" t="s">
        <v>4191</v>
      </c>
    </row>
    <row customHeight="1" ht="11.25">
      <c r="A359" s="373" t="s">
        <v>14</v>
      </c>
      <c r="B359" s="0" t="s">
        <v>4181</v>
      </c>
      <c r="C359" s="0" t="s">
        <v>4182</v>
      </c>
      <c r="D359" s="0" t="s">
        <v>3831</v>
      </c>
      <c r="E359" s="0" t="s">
        <v>4192</v>
      </c>
      <c r="F359" s="0" t="s">
        <v>3209</v>
      </c>
      <c r="G359" s="0" t="s">
        <v>4193</v>
      </c>
    </row>
    <row customHeight="1" ht="11.25">
      <c r="A360" s="373" t="s">
        <v>14</v>
      </c>
      <c r="B360" s="0" t="s">
        <v>4181</v>
      </c>
      <c r="C360" s="0" t="s">
        <v>4182</v>
      </c>
      <c r="D360" s="0" t="s">
        <v>3575</v>
      </c>
      <c r="E360" s="0" t="s">
        <v>4194</v>
      </c>
      <c r="F360" s="0" t="s">
        <v>3209</v>
      </c>
      <c r="G360" s="0" t="s">
        <v>4195</v>
      </c>
    </row>
    <row customHeight="1" ht="11.25">
      <c r="A361" s="373" t="s">
        <v>14</v>
      </c>
      <c r="B361" s="0" t="s">
        <v>4181</v>
      </c>
      <c r="C361" s="0" t="s">
        <v>4182</v>
      </c>
      <c r="D361" s="0" t="s">
        <v>4181</v>
      </c>
      <c r="E361" s="0" t="s">
        <v>4182</v>
      </c>
      <c r="F361" s="0" t="s">
        <v>3206</v>
      </c>
      <c r="G361" s="0" t="s">
        <v>4196</v>
      </c>
    </row>
    <row customHeight="1" ht="11.25">
      <c r="A362" s="373" t="s">
        <v>14</v>
      </c>
      <c r="B362" s="0" t="s">
        <v>4181</v>
      </c>
      <c r="C362" s="0" t="s">
        <v>4182</v>
      </c>
      <c r="D362" s="0" t="s">
        <v>4197</v>
      </c>
      <c r="E362" s="0" t="s">
        <v>4198</v>
      </c>
      <c r="F362" s="0" t="s">
        <v>3209</v>
      </c>
      <c r="G362" s="0" t="s">
        <v>4199</v>
      </c>
    </row>
    <row customHeight="1" ht="11.25">
      <c r="A363" s="373" t="s">
        <v>14</v>
      </c>
      <c r="B363" s="0" t="s">
        <v>4200</v>
      </c>
      <c r="C363" s="0" t="s">
        <v>4201</v>
      </c>
      <c r="D363" s="0" t="s">
        <v>4121</v>
      </c>
      <c r="E363" s="0" t="s">
        <v>4202</v>
      </c>
      <c r="F363" s="0" t="s">
        <v>3209</v>
      </c>
      <c r="G363" s="0" t="s">
        <v>4203</v>
      </c>
    </row>
    <row customHeight="1" ht="11.25">
      <c r="A364" s="373" t="s">
        <v>14</v>
      </c>
      <c r="B364" s="0" t="s">
        <v>4200</v>
      </c>
      <c r="C364" s="0" t="s">
        <v>4201</v>
      </c>
      <c r="D364" s="0" t="s">
        <v>4204</v>
      </c>
      <c r="E364" s="0" t="s">
        <v>4205</v>
      </c>
      <c r="F364" s="0" t="s">
        <v>3209</v>
      </c>
      <c r="G364" s="0" t="s">
        <v>4206</v>
      </c>
    </row>
    <row customHeight="1" ht="11.25">
      <c r="A365" s="373" t="s">
        <v>14</v>
      </c>
      <c r="B365" s="0" t="s">
        <v>4200</v>
      </c>
      <c r="C365" s="0" t="s">
        <v>4201</v>
      </c>
      <c r="D365" s="0" t="s">
        <v>3810</v>
      </c>
      <c r="E365" s="0" t="s">
        <v>4207</v>
      </c>
      <c r="F365" s="0" t="s">
        <v>3209</v>
      </c>
      <c r="G365" s="0" t="s">
        <v>4208</v>
      </c>
    </row>
    <row customHeight="1" ht="11.25">
      <c r="A366" s="373" t="s">
        <v>14</v>
      </c>
      <c r="B366" s="0" t="s">
        <v>4200</v>
      </c>
      <c r="C366" s="0" t="s">
        <v>4201</v>
      </c>
      <c r="D366" s="0" t="s">
        <v>4209</v>
      </c>
      <c r="E366" s="0" t="s">
        <v>4210</v>
      </c>
      <c r="F366" s="0" t="s">
        <v>3209</v>
      </c>
      <c r="G366" s="0" t="s">
        <v>4211</v>
      </c>
    </row>
    <row customHeight="1" ht="11.25">
      <c r="A367" s="373" t="s">
        <v>14</v>
      </c>
      <c r="B367" s="0" t="s">
        <v>4200</v>
      </c>
      <c r="C367" s="0" t="s">
        <v>4201</v>
      </c>
      <c r="D367" s="0" t="s">
        <v>4212</v>
      </c>
      <c r="E367" s="0" t="s">
        <v>4213</v>
      </c>
      <c r="F367" s="0" t="s">
        <v>3209</v>
      </c>
      <c r="G367" s="0" t="s">
        <v>4214</v>
      </c>
    </row>
    <row customHeight="1" ht="11.25">
      <c r="A368" s="373" t="s">
        <v>14</v>
      </c>
      <c r="B368" s="0" t="s">
        <v>4200</v>
      </c>
      <c r="C368" s="0" t="s">
        <v>4201</v>
      </c>
      <c r="D368" s="0" t="s">
        <v>3279</v>
      </c>
      <c r="E368" s="0" t="s">
        <v>4215</v>
      </c>
      <c r="F368" s="0" t="s">
        <v>3209</v>
      </c>
      <c r="G368" s="0" t="s">
        <v>4216</v>
      </c>
    </row>
    <row customHeight="1" ht="11.25">
      <c r="A369" s="373" t="s">
        <v>14</v>
      </c>
      <c r="B369" s="0" t="s">
        <v>4200</v>
      </c>
      <c r="C369" s="0" t="s">
        <v>4201</v>
      </c>
      <c r="D369" s="0" t="s">
        <v>4217</v>
      </c>
      <c r="E369" s="0" t="s">
        <v>4218</v>
      </c>
      <c r="F369" s="0" t="s">
        <v>3209</v>
      </c>
      <c r="G369" s="0" t="s">
        <v>4219</v>
      </c>
    </row>
    <row customHeight="1" ht="11.25">
      <c r="A370" s="373" t="s">
        <v>14</v>
      </c>
      <c r="B370" s="0" t="s">
        <v>4200</v>
      </c>
      <c r="C370" s="0" t="s">
        <v>4201</v>
      </c>
      <c r="D370" s="0" t="s">
        <v>4220</v>
      </c>
      <c r="E370" s="0" t="s">
        <v>4221</v>
      </c>
      <c r="F370" s="0" t="s">
        <v>3209</v>
      </c>
      <c r="G370" s="0" t="s">
        <v>4222</v>
      </c>
    </row>
    <row customHeight="1" ht="11.25">
      <c r="A371" s="373" t="s">
        <v>14</v>
      </c>
      <c r="B371" s="0" t="s">
        <v>4200</v>
      </c>
      <c r="C371" s="0" t="s">
        <v>4201</v>
      </c>
      <c r="D371" s="0" t="s">
        <v>4200</v>
      </c>
      <c r="E371" s="0" t="s">
        <v>4201</v>
      </c>
      <c r="F371" s="0" t="s">
        <v>3206</v>
      </c>
      <c r="G371" s="0" t="s">
        <v>4223</v>
      </c>
    </row>
    <row customHeight="1" ht="11.25">
      <c r="A372" s="373" t="s">
        <v>14</v>
      </c>
      <c r="B372" s="0" t="s">
        <v>4200</v>
      </c>
      <c r="C372" s="0" t="s">
        <v>4201</v>
      </c>
      <c r="D372" s="0" t="s">
        <v>4224</v>
      </c>
      <c r="E372" s="0" t="s">
        <v>4225</v>
      </c>
      <c r="F372" s="0" t="s">
        <v>3248</v>
      </c>
      <c r="G372" s="0" t="s">
        <v>4226</v>
      </c>
    </row>
    <row customHeight="1" ht="11.25">
      <c r="A373" s="373" t="s">
        <v>14</v>
      </c>
      <c r="B373" s="0" t="s">
        <v>4200</v>
      </c>
      <c r="C373" s="0" t="s">
        <v>4201</v>
      </c>
      <c r="D373" s="0" t="s">
        <v>4227</v>
      </c>
      <c r="E373" s="0" t="s">
        <v>4228</v>
      </c>
      <c r="F373" s="0" t="s">
        <v>3209</v>
      </c>
      <c r="G373" s="0" t="s">
        <v>4229</v>
      </c>
    </row>
    <row customHeight="1" ht="11.25">
      <c r="A374" s="373" t="s">
        <v>14</v>
      </c>
      <c r="B374" s="0" t="s">
        <v>4200</v>
      </c>
      <c r="C374" s="0" t="s">
        <v>4201</v>
      </c>
      <c r="D374" s="0" t="s">
        <v>4230</v>
      </c>
      <c r="E374" s="0" t="s">
        <v>4231</v>
      </c>
      <c r="F374" s="0" t="s">
        <v>3209</v>
      </c>
      <c r="G374" s="0" t="s">
        <v>4232</v>
      </c>
    </row>
    <row customHeight="1" ht="11.25">
      <c r="A375" s="373" t="s">
        <v>14</v>
      </c>
      <c r="B375" s="0" t="s">
        <v>4233</v>
      </c>
      <c r="C375" s="0" t="s">
        <v>4234</v>
      </c>
      <c r="D375" s="0" t="s">
        <v>4235</v>
      </c>
      <c r="E375" s="0" t="s">
        <v>4236</v>
      </c>
      <c r="F375" s="0" t="s">
        <v>3209</v>
      </c>
      <c r="G375" s="0" t="s">
        <v>4237</v>
      </c>
    </row>
    <row customHeight="1" ht="11.25">
      <c r="A376" s="373" t="s">
        <v>14</v>
      </c>
      <c r="B376" s="0" t="s">
        <v>4233</v>
      </c>
      <c r="C376" s="0" t="s">
        <v>4234</v>
      </c>
      <c r="D376" s="0" t="s">
        <v>4238</v>
      </c>
      <c r="E376" s="0" t="s">
        <v>4239</v>
      </c>
      <c r="F376" s="0" t="s">
        <v>3209</v>
      </c>
      <c r="G376" s="0" t="s">
        <v>4240</v>
      </c>
    </row>
    <row customHeight="1" ht="11.25">
      <c r="A377" s="373" t="s">
        <v>14</v>
      </c>
      <c r="B377" s="0" t="s">
        <v>4233</v>
      </c>
      <c r="C377" s="0" t="s">
        <v>4234</v>
      </c>
      <c r="D377" s="0" t="s">
        <v>4241</v>
      </c>
      <c r="E377" s="0" t="s">
        <v>4242</v>
      </c>
      <c r="F377" s="0" t="s">
        <v>3209</v>
      </c>
      <c r="G377" s="0" t="s">
        <v>4243</v>
      </c>
    </row>
    <row customHeight="1" ht="11.25">
      <c r="A378" s="373" t="s">
        <v>14</v>
      </c>
      <c r="B378" s="0" t="s">
        <v>4233</v>
      </c>
      <c r="C378" s="0" t="s">
        <v>4234</v>
      </c>
      <c r="D378" s="0" t="s">
        <v>4244</v>
      </c>
      <c r="E378" s="0" t="s">
        <v>4245</v>
      </c>
      <c r="F378" s="0" t="s">
        <v>3209</v>
      </c>
      <c r="G378" s="0" t="s">
        <v>4246</v>
      </c>
    </row>
    <row customHeight="1" ht="11.25">
      <c r="A379" s="373" t="s">
        <v>14</v>
      </c>
      <c r="B379" s="0" t="s">
        <v>4233</v>
      </c>
      <c r="C379" s="0" t="s">
        <v>4234</v>
      </c>
      <c r="D379" s="0" t="s">
        <v>4247</v>
      </c>
      <c r="E379" s="0" t="s">
        <v>4248</v>
      </c>
      <c r="F379" s="0" t="s">
        <v>3209</v>
      </c>
      <c r="G379" s="0" t="s">
        <v>4249</v>
      </c>
    </row>
    <row customHeight="1" ht="11.25">
      <c r="A380" s="373" t="s">
        <v>14</v>
      </c>
      <c r="B380" s="0" t="s">
        <v>4233</v>
      </c>
      <c r="C380" s="0" t="s">
        <v>4234</v>
      </c>
      <c r="D380" s="0" t="s">
        <v>4250</v>
      </c>
      <c r="E380" s="0" t="s">
        <v>4251</v>
      </c>
      <c r="F380" s="0" t="s">
        <v>3209</v>
      </c>
      <c r="G380" s="0" t="s">
        <v>4252</v>
      </c>
    </row>
    <row customHeight="1" ht="11.25">
      <c r="A381" s="373" t="s">
        <v>14</v>
      </c>
      <c r="B381" s="0" t="s">
        <v>4233</v>
      </c>
      <c r="C381" s="0" t="s">
        <v>4234</v>
      </c>
      <c r="D381" s="0" t="s">
        <v>4253</v>
      </c>
      <c r="E381" s="0" t="s">
        <v>4254</v>
      </c>
      <c r="F381" s="0" t="s">
        <v>3209</v>
      </c>
      <c r="G381" s="0" t="s">
        <v>4255</v>
      </c>
    </row>
    <row customHeight="1" ht="11.25">
      <c r="A382" s="373" t="s">
        <v>14</v>
      </c>
      <c r="B382" s="0" t="s">
        <v>4233</v>
      </c>
      <c r="C382" s="0" t="s">
        <v>4234</v>
      </c>
      <c r="D382" s="0" t="s">
        <v>4233</v>
      </c>
      <c r="E382" s="0" t="s">
        <v>4234</v>
      </c>
      <c r="F382" s="0" t="s">
        <v>3206</v>
      </c>
      <c r="G382" s="0" t="s">
        <v>4256</v>
      </c>
    </row>
    <row customHeight="1" ht="11.25">
      <c r="A383" s="373" t="s">
        <v>14</v>
      </c>
      <c r="B383" s="0" t="s">
        <v>4233</v>
      </c>
      <c r="C383" s="0" t="s">
        <v>4234</v>
      </c>
      <c r="D383" s="0" t="s">
        <v>4257</v>
      </c>
      <c r="E383" s="0" t="s">
        <v>4258</v>
      </c>
      <c r="F383" s="0" t="s">
        <v>3248</v>
      </c>
      <c r="G383" s="0" t="s">
        <v>4259</v>
      </c>
    </row>
    <row customHeight="1" ht="11.25">
      <c r="A384" s="373" t="s">
        <v>14</v>
      </c>
      <c r="B384" s="0" t="s">
        <v>4233</v>
      </c>
      <c r="C384" s="0" t="s">
        <v>4234</v>
      </c>
      <c r="D384" s="0" t="s">
        <v>4260</v>
      </c>
      <c r="E384" s="0" t="s">
        <v>4261</v>
      </c>
      <c r="F384" s="0" t="s">
        <v>3209</v>
      </c>
      <c r="G384" s="0" t="s">
        <v>4262</v>
      </c>
    </row>
    <row customHeight="1" ht="11.25">
      <c r="A385" s="373" t="s">
        <v>14</v>
      </c>
      <c r="B385" s="0" t="s">
        <v>4233</v>
      </c>
      <c r="C385" s="0" t="s">
        <v>4234</v>
      </c>
      <c r="D385" s="0" t="s">
        <v>4263</v>
      </c>
      <c r="E385" s="0" t="s">
        <v>4264</v>
      </c>
      <c r="F385" s="0" t="s">
        <v>3209</v>
      </c>
      <c r="G385" s="0" t="s">
        <v>4265</v>
      </c>
    </row>
    <row customHeight="1" ht="11.25">
      <c r="A386" s="373" t="s">
        <v>14</v>
      </c>
      <c r="B386" s="0" t="s">
        <v>4266</v>
      </c>
      <c r="C386" s="0" t="s">
        <v>4267</v>
      </c>
      <c r="D386" s="0" t="s">
        <v>4268</v>
      </c>
      <c r="E386" s="0" t="s">
        <v>4269</v>
      </c>
      <c r="F386" s="0" t="s">
        <v>3209</v>
      </c>
      <c r="G386" s="0" t="s">
        <v>4270</v>
      </c>
    </row>
    <row customHeight="1" ht="11.25">
      <c r="A387" s="373" t="s">
        <v>14</v>
      </c>
      <c r="B387" s="0" t="s">
        <v>4266</v>
      </c>
      <c r="C387" s="0" t="s">
        <v>4267</v>
      </c>
      <c r="D387" s="0" t="s">
        <v>4266</v>
      </c>
      <c r="E387" s="0" t="s">
        <v>4267</v>
      </c>
      <c r="F387" s="0" t="s">
        <v>3206</v>
      </c>
      <c r="G387" s="0" t="s">
        <v>4271</v>
      </c>
    </row>
    <row customHeight="1" ht="11.25">
      <c r="A388" s="373" t="s">
        <v>14</v>
      </c>
      <c r="B388" s="0" t="s">
        <v>4266</v>
      </c>
      <c r="C388" s="0" t="s">
        <v>4267</v>
      </c>
      <c r="D388" s="0" t="s">
        <v>4272</v>
      </c>
      <c r="E388" s="0" t="s">
        <v>4273</v>
      </c>
      <c r="F388" s="0" t="s">
        <v>3209</v>
      </c>
      <c r="G388" s="0" t="s">
        <v>4274</v>
      </c>
    </row>
    <row customHeight="1" ht="11.25">
      <c r="A389" s="373" t="s">
        <v>14</v>
      </c>
      <c r="B389" s="0" t="s">
        <v>4266</v>
      </c>
      <c r="C389" s="0" t="s">
        <v>4267</v>
      </c>
      <c r="D389" s="0" t="s">
        <v>4275</v>
      </c>
      <c r="E389" s="0" t="s">
        <v>4276</v>
      </c>
      <c r="F389" s="0" t="s">
        <v>3209</v>
      </c>
      <c r="G389" s="0" t="s">
        <v>4277</v>
      </c>
    </row>
    <row customHeight="1" ht="11.25">
      <c r="A390" s="373" t="s">
        <v>14</v>
      </c>
      <c r="B390" s="0" t="s">
        <v>4278</v>
      </c>
      <c r="C390" s="0" t="s">
        <v>4279</v>
      </c>
      <c r="D390" s="0" t="s">
        <v>4280</v>
      </c>
      <c r="E390" s="0" t="s">
        <v>4281</v>
      </c>
      <c r="F390" s="0" t="s">
        <v>3209</v>
      </c>
      <c r="G390" s="0" t="s">
        <v>4282</v>
      </c>
    </row>
    <row customHeight="1" ht="11.25">
      <c r="A391" s="373" t="s">
        <v>14</v>
      </c>
      <c r="B391" s="0" t="s">
        <v>4278</v>
      </c>
      <c r="C391" s="0" t="s">
        <v>4279</v>
      </c>
      <c r="D391" s="0" t="s">
        <v>4283</v>
      </c>
      <c r="E391" s="0" t="s">
        <v>4284</v>
      </c>
      <c r="F391" s="0" t="s">
        <v>3209</v>
      </c>
      <c r="G391" s="0" t="s">
        <v>4285</v>
      </c>
    </row>
    <row customHeight="1" ht="11.25">
      <c r="A392" s="373" t="s">
        <v>14</v>
      </c>
      <c r="B392" s="0" t="s">
        <v>4278</v>
      </c>
      <c r="C392" s="0" t="s">
        <v>4279</v>
      </c>
      <c r="D392" s="0" t="s">
        <v>4286</v>
      </c>
      <c r="E392" s="0" t="s">
        <v>4287</v>
      </c>
      <c r="F392" s="0" t="s">
        <v>3209</v>
      </c>
      <c r="G392" s="0" t="s">
        <v>4288</v>
      </c>
    </row>
    <row customHeight="1" ht="11.25">
      <c r="A393" s="373" t="s">
        <v>14</v>
      </c>
      <c r="B393" s="0" t="s">
        <v>4278</v>
      </c>
      <c r="C393" s="0" t="s">
        <v>4279</v>
      </c>
      <c r="D393" s="0" t="s">
        <v>4289</v>
      </c>
      <c r="E393" s="0" t="s">
        <v>4290</v>
      </c>
      <c r="F393" s="0" t="s">
        <v>3209</v>
      </c>
      <c r="G393" s="0" t="s">
        <v>4291</v>
      </c>
    </row>
    <row customHeight="1" ht="11.25">
      <c r="A394" s="373" t="s">
        <v>14</v>
      </c>
      <c r="B394" s="0" t="s">
        <v>4278</v>
      </c>
      <c r="C394" s="0" t="s">
        <v>4279</v>
      </c>
      <c r="D394" s="0" t="s">
        <v>4292</v>
      </c>
      <c r="E394" s="0" t="s">
        <v>4293</v>
      </c>
      <c r="F394" s="0" t="s">
        <v>3209</v>
      </c>
      <c r="G394" s="0" t="s">
        <v>4294</v>
      </c>
    </row>
    <row customHeight="1" ht="11.25">
      <c r="A395" s="373" t="s">
        <v>14</v>
      </c>
      <c r="B395" s="0" t="s">
        <v>4278</v>
      </c>
      <c r="C395" s="0" t="s">
        <v>4279</v>
      </c>
      <c r="D395" s="0" t="s">
        <v>4295</v>
      </c>
      <c r="E395" s="0" t="s">
        <v>4296</v>
      </c>
      <c r="F395" s="0" t="s">
        <v>3209</v>
      </c>
      <c r="G395" s="0" t="s">
        <v>4297</v>
      </c>
    </row>
    <row customHeight="1" ht="11.25">
      <c r="A396" s="373" t="s">
        <v>14</v>
      </c>
      <c r="B396" s="0" t="s">
        <v>4278</v>
      </c>
      <c r="C396" s="0" t="s">
        <v>4279</v>
      </c>
      <c r="D396" s="0" t="s">
        <v>3639</v>
      </c>
      <c r="E396" s="0" t="s">
        <v>4298</v>
      </c>
      <c r="F396" s="0" t="s">
        <v>3209</v>
      </c>
      <c r="G396" s="0" t="s">
        <v>4299</v>
      </c>
    </row>
    <row customHeight="1" ht="11.25">
      <c r="A397" s="373" t="s">
        <v>14</v>
      </c>
      <c r="B397" s="0" t="s">
        <v>4278</v>
      </c>
      <c r="C397" s="0" t="s">
        <v>4279</v>
      </c>
      <c r="D397" s="0" t="s">
        <v>4300</v>
      </c>
      <c r="E397" s="0" t="s">
        <v>4301</v>
      </c>
      <c r="F397" s="0" t="s">
        <v>3209</v>
      </c>
      <c r="G397" s="0" t="s">
        <v>4302</v>
      </c>
    </row>
    <row customHeight="1" ht="11.25">
      <c r="A398" s="373" t="s">
        <v>14</v>
      </c>
      <c r="B398" s="0" t="s">
        <v>4278</v>
      </c>
      <c r="C398" s="0" t="s">
        <v>4279</v>
      </c>
      <c r="D398" s="0" t="s">
        <v>4303</v>
      </c>
      <c r="E398" s="0" t="s">
        <v>4304</v>
      </c>
      <c r="F398" s="0" t="s">
        <v>3209</v>
      </c>
      <c r="G398" s="0" t="s">
        <v>4305</v>
      </c>
    </row>
    <row customHeight="1" ht="11.25">
      <c r="A399" s="373" t="s">
        <v>14</v>
      </c>
      <c r="B399" s="0" t="s">
        <v>4278</v>
      </c>
      <c r="C399" s="0" t="s">
        <v>4279</v>
      </c>
      <c r="D399" s="0" t="s">
        <v>4278</v>
      </c>
      <c r="E399" s="0" t="s">
        <v>4279</v>
      </c>
      <c r="F399" s="0" t="s">
        <v>3206</v>
      </c>
      <c r="G399" s="0" t="s">
        <v>4306</v>
      </c>
    </row>
    <row customHeight="1" ht="11.25">
      <c r="A400" s="373" t="s">
        <v>14</v>
      </c>
      <c r="B400" s="0" t="s">
        <v>4278</v>
      </c>
      <c r="C400" s="0" t="s">
        <v>4279</v>
      </c>
      <c r="D400" s="0" t="s">
        <v>4307</v>
      </c>
      <c r="E400" s="0" t="s">
        <v>4308</v>
      </c>
      <c r="F400" s="0" t="s">
        <v>3209</v>
      </c>
      <c r="G400" s="0" t="s">
        <v>4309</v>
      </c>
    </row>
    <row customHeight="1" ht="11.25">
      <c r="A401" s="373" t="s">
        <v>14</v>
      </c>
      <c r="B401" s="0" t="s">
        <v>4310</v>
      </c>
      <c r="C401" s="0" t="s">
        <v>4311</v>
      </c>
      <c r="D401" s="0" t="s">
        <v>4312</v>
      </c>
      <c r="E401" s="0" t="s">
        <v>4313</v>
      </c>
      <c r="F401" s="0" t="s">
        <v>3209</v>
      </c>
      <c r="G401" s="0" t="s">
        <v>4314</v>
      </c>
    </row>
    <row customHeight="1" ht="11.25">
      <c r="A402" s="373" t="s">
        <v>14</v>
      </c>
      <c r="B402" s="0" t="s">
        <v>4310</v>
      </c>
      <c r="C402" s="0" t="s">
        <v>4311</v>
      </c>
      <c r="D402" s="0" t="s">
        <v>4315</v>
      </c>
      <c r="E402" s="0" t="s">
        <v>4316</v>
      </c>
      <c r="F402" s="0" t="s">
        <v>3209</v>
      </c>
      <c r="G402" s="0" t="s">
        <v>4317</v>
      </c>
    </row>
    <row customHeight="1" ht="11.25">
      <c r="A403" s="373" t="s">
        <v>14</v>
      </c>
      <c r="B403" s="0" t="s">
        <v>4310</v>
      </c>
      <c r="C403" s="0" t="s">
        <v>4311</v>
      </c>
      <c r="D403" s="0" t="s">
        <v>4318</v>
      </c>
      <c r="E403" s="0" t="s">
        <v>4319</v>
      </c>
      <c r="F403" s="0" t="s">
        <v>3209</v>
      </c>
      <c r="G403" s="0" t="s">
        <v>4320</v>
      </c>
    </row>
    <row customHeight="1" ht="11.25">
      <c r="A404" s="373" t="s">
        <v>14</v>
      </c>
      <c r="B404" s="0" t="s">
        <v>4310</v>
      </c>
      <c r="C404" s="0" t="s">
        <v>4311</v>
      </c>
      <c r="D404" s="0" t="s">
        <v>4321</v>
      </c>
      <c r="E404" s="0" t="s">
        <v>4322</v>
      </c>
      <c r="F404" s="0" t="s">
        <v>3209</v>
      </c>
      <c r="G404" s="0" t="s">
        <v>4323</v>
      </c>
    </row>
    <row customHeight="1" ht="11.25">
      <c r="A405" s="373" t="s">
        <v>14</v>
      </c>
      <c r="B405" s="0" t="s">
        <v>4310</v>
      </c>
      <c r="C405" s="0" t="s">
        <v>4311</v>
      </c>
      <c r="D405" s="0" t="s">
        <v>4324</v>
      </c>
      <c r="E405" s="0" t="s">
        <v>4325</v>
      </c>
      <c r="F405" s="0" t="s">
        <v>3209</v>
      </c>
      <c r="G405" s="0" t="s">
        <v>4326</v>
      </c>
    </row>
    <row customHeight="1" ht="11.25">
      <c r="A406" s="373" t="s">
        <v>14</v>
      </c>
      <c r="B406" s="0" t="s">
        <v>4310</v>
      </c>
      <c r="C406" s="0" t="s">
        <v>4311</v>
      </c>
      <c r="D406" s="0" t="s">
        <v>4327</v>
      </c>
      <c r="E406" s="0" t="s">
        <v>4328</v>
      </c>
      <c r="F406" s="0" t="s">
        <v>3209</v>
      </c>
      <c r="G406" s="0" t="s">
        <v>4329</v>
      </c>
    </row>
    <row customHeight="1" ht="11.25">
      <c r="A407" s="373" t="s">
        <v>14</v>
      </c>
      <c r="B407" s="0" t="s">
        <v>4310</v>
      </c>
      <c r="C407" s="0" t="s">
        <v>4311</v>
      </c>
      <c r="D407" s="0" t="s">
        <v>3739</v>
      </c>
      <c r="E407" s="0" t="s">
        <v>4330</v>
      </c>
      <c r="F407" s="0" t="s">
        <v>3209</v>
      </c>
      <c r="G407" s="0" t="s">
        <v>4331</v>
      </c>
    </row>
    <row customHeight="1" ht="11.25">
      <c r="A408" s="373" t="s">
        <v>14</v>
      </c>
      <c r="B408" s="0" t="s">
        <v>4310</v>
      </c>
      <c r="C408" s="0" t="s">
        <v>4311</v>
      </c>
      <c r="D408" s="0" t="s">
        <v>4332</v>
      </c>
      <c r="E408" s="0" t="s">
        <v>4333</v>
      </c>
      <c r="F408" s="0" t="s">
        <v>3209</v>
      </c>
      <c r="G408" s="0" t="s">
        <v>4334</v>
      </c>
    </row>
    <row customHeight="1" ht="11.25">
      <c r="A409" s="373" t="s">
        <v>14</v>
      </c>
      <c r="B409" s="0" t="s">
        <v>4310</v>
      </c>
      <c r="C409" s="0" t="s">
        <v>4311</v>
      </c>
      <c r="D409" s="0" t="s">
        <v>4145</v>
      </c>
      <c r="E409" s="0" t="s">
        <v>4335</v>
      </c>
      <c r="F409" s="0" t="s">
        <v>3209</v>
      </c>
      <c r="G409" s="0" t="s">
        <v>4336</v>
      </c>
    </row>
    <row customHeight="1" ht="11.25">
      <c r="A410" s="373" t="s">
        <v>14</v>
      </c>
      <c r="B410" s="0" t="s">
        <v>4310</v>
      </c>
      <c r="C410" s="0" t="s">
        <v>4311</v>
      </c>
      <c r="D410" s="0" t="s">
        <v>4310</v>
      </c>
      <c r="E410" s="0" t="s">
        <v>4311</v>
      </c>
      <c r="F410" s="0" t="s">
        <v>3206</v>
      </c>
      <c r="G410" s="0" t="s">
        <v>4337</v>
      </c>
    </row>
    <row customHeight="1" ht="11.25">
      <c r="A411" s="373" t="s">
        <v>14</v>
      </c>
      <c r="B411" s="0" t="s">
        <v>4310</v>
      </c>
      <c r="C411" s="0" t="s">
        <v>4311</v>
      </c>
      <c r="D411" s="0" t="s">
        <v>4338</v>
      </c>
      <c r="E411" s="0" t="s">
        <v>4339</v>
      </c>
      <c r="F411" s="0" t="s">
        <v>3209</v>
      </c>
      <c r="G411" s="0" t="s">
        <v>4340</v>
      </c>
    </row>
    <row customHeight="1" ht="11.25">
      <c r="A412" s="373" t="s">
        <v>14</v>
      </c>
      <c r="B412" s="0" t="s">
        <v>4310</v>
      </c>
      <c r="C412" s="0" t="s">
        <v>4311</v>
      </c>
      <c r="D412" s="0" t="s">
        <v>4341</v>
      </c>
      <c r="E412" s="0" t="s">
        <v>4342</v>
      </c>
      <c r="F412" s="0" t="s">
        <v>3209</v>
      </c>
      <c r="G412" s="0" t="s">
        <v>4343</v>
      </c>
    </row>
    <row customHeight="1" ht="11.25">
      <c r="A413" s="373" t="s">
        <v>14</v>
      </c>
      <c r="B413" s="0" t="s">
        <v>4344</v>
      </c>
      <c r="C413" s="0" t="s">
        <v>4345</v>
      </c>
      <c r="D413" s="0" t="s">
        <v>4346</v>
      </c>
      <c r="E413" s="0" t="s">
        <v>4347</v>
      </c>
      <c r="F413" s="0" t="s">
        <v>3209</v>
      </c>
      <c r="G413" s="0" t="s">
        <v>4348</v>
      </c>
    </row>
    <row customHeight="1" ht="11.25">
      <c r="A414" s="373" t="s">
        <v>14</v>
      </c>
      <c r="B414" s="0" t="s">
        <v>4344</v>
      </c>
      <c r="C414" s="0" t="s">
        <v>4345</v>
      </c>
      <c r="D414" s="0" t="s">
        <v>4349</v>
      </c>
      <c r="E414" s="0" t="s">
        <v>4350</v>
      </c>
      <c r="F414" s="0" t="s">
        <v>3209</v>
      </c>
      <c r="G414" s="0" t="s">
        <v>4351</v>
      </c>
    </row>
    <row customHeight="1" ht="11.25">
      <c r="A415" s="373" t="s">
        <v>14</v>
      </c>
      <c r="B415" s="0" t="s">
        <v>4344</v>
      </c>
      <c r="C415" s="0" t="s">
        <v>4345</v>
      </c>
      <c r="D415" s="0" t="s">
        <v>3931</v>
      </c>
      <c r="E415" s="0" t="s">
        <v>4352</v>
      </c>
      <c r="F415" s="0" t="s">
        <v>3209</v>
      </c>
      <c r="G415" s="0" t="s">
        <v>4353</v>
      </c>
    </row>
    <row customHeight="1" ht="11.25">
      <c r="A416" s="373" t="s">
        <v>14</v>
      </c>
      <c r="B416" s="0" t="s">
        <v>4344</v>
      </c>
      <c r="C416" s="0" t="s">
        <v>4345</v>
      </c>
      <c r="D416" s="0" t="s">
        <v>4354</v>
      </c>
      <c r="E416" s="0" t="s">
        <v>4355</v>
      </c>
      <c r="F416" s="0" t="s">
        <v>3209</v>
      </c>
      <c r="G416" s="0" t="s">
        <v>4356</v>
      </c>
    </row>
    <row customHeight="1" ht="11.25">
      <c r="A417" s="373" t="s">
        <v>14</v>
      </c>
      <c r="B417" s="0" t="s">
        <v>4344</v>
      </c>
      <c r="C417" s="0" t="s">
        <v>4345</v>
      </c>
      <c r="D417" s="0" t="s">
        <v>4357</v>
      </c>
      <c r="E417" s="0" t="s">
        <v>4358</v>
      </c>
      <c r="F417" s="0" t="s">
        <v>3209</v>
      </c>
      <c r="G417" s="0" t="s">
        <v>4359</v>
      </c>
    </row>
    <row customHeight="1" ht="11.25">
      <c r="A418" s="373" t="s">
        <v>14</v>
      </c>
      <c r="B418" s="0" t="s">
        <v>4344</v>
      </c>
      <c r="C418" s="0" t="s">
        <v>4345</v>
      </c>
      <c r="D418" s="0" t="s">
        <v>4360</v>
      </c>
      <c r="E418" s="0" t="s">
        <v>4361</v>
      </c>
      <c r="F418" s="0" t="s">
        <v>3209</v>
      </c>
      <c r="G418" s="0" t="s">
        <v>4362</v>
      </c>
    </row>
    <row customHeight="1" ht="11.25">
      <c r="A419" s="373" t="s">
        <v>14</v>
      </c>
      <c r="B419" s="0" t="s">
        <v>4344</v>
      </c>
      <c r="C419" s="0" t="s">
        <v>4345</v>
      </c>
      <c r="D419" s="0" t="s">
        <v>4363</v>
      </c>
      <c r="E419" s="0" t="s">
        <v>4364</v>
      </c>
      <c r="F419" s="0" t="s">
        <v>3209</v>
      </c>
      <c r="G419" s="0" t="s">
        <v>4365</v>
      </c>
    </row>
    <row customHeight="1" ht="11.25">
      <c r="A420" s="373" t="s">
        <v>14</v>
      </c>
      <c r="B420" s="0" t="s">
        <v>4344</v>
      </c>
      <c r="C420" s="0" t="s">
        <v>4345</v>
      </c>
      <c r="D420" s="0" t="s">
        <v>4344</v>
      </c>
      <c r="E420" s="0" t="s">
        <v>4345</v>
      </c>
      <c r="F420" s="0" t="s">
        <v>3206</v>
      </c>
      <c r="G420" s="0" t="s">
        <v>4366</v>
      </c>
    </row>
    <row customHeight="1" ht="11.25">
      <c r="A421" s="373" t="s">
        <v>14</v>
      </c>
      <c r="B421" s="0" t="s">
        <v>4344</v>
      </c>
      <c r="C421" s="0" t="s">
        <v>4345</v>
      </c>
      <c r="D421" s="0" t="s">
        <v>4367</v>
      </c>
      <c r="E421" s="0" t="s">
        <v>4368</v>
      </c>
      <c r="F421" s="0" t="s">
        <v>3627</v>
      </c>
      <c r="G421" s="0" t="s">
        <v>4369</v>
      </c>
    </row>
    <row customHeight="1" ht="11.25">
      <c r="A422" s="373" t="s">
        <v>14</v>
      </c>
      <c r="B422" s="0" t="s">
        <v>4370</v>
      </c>
      <c r="C422" s="0" t="s">
        <v>4371</v>
      </c>
      <c r="D422" s="0" t="s">
        <v>3572</v>
      </c>
      <c r="E422" s="0" t="s">
        <v>4372</v>
      </c>
      <c r="F422" s="0" t="s">
        <v>3209</v>
      </c>
      <c r="G422" s="0" t="s">
        <v>4373</v>
      </c>
    </row>
    <row customHeight="1" ht="11.25">
      <c r="A423" s="373" t="s">
        <v>14</v>
      </c>
      <c r="B423" s="0" t="s">
        <v>4370</v>
      </c>
      <c r="C423" s="0" t="s">
        <v>4371</v>
      </c>
      <c r="D423" s="0" t="s">
        <v>4374</v>
      </c>
      <c r="E423" s="0" t="s">
        <v>4375</v>
      </c>
      <c r="F423" s="0" t="s">
        <v>3209</v>
      </c>
      <c r="G423" s="0" t="s">
        <v>4376</v>
      </c>
    </row>
    <row customHeight="1" ht="11.25">
      <c r="A424" s="373" t="s">
        <v>14</v>
      </c>
      <c r="B424" s="0" t="s">
        <v>4370</v>
      </c>
      <c r="C424" s="0" t="s">
        <v>4371</v>
      </c>
      <c r="D424" s="0" t="s">
        <v>3739</v>
      </c>
      <c r="E424" s="0" t="s">
        <v>4377</v>
      </c>
      <c r="F424" s="0" t="s">
        <v>3209</v>
      </c>
      <c r="G424" s="0" t="s">
        <v>4378</v>
      </c>
    </row>
    <row customHeight="1" ht="11.25">
      <c r="A425" s="373" t="s">
        <v>14</v>
      </c>
      <c r="B425" s="0" t="s">
        <v>4370</v>
      </c>
      <c r="C425" s="0" t="s">
        <v>4371</v>
      </c>
      <c r="D425" s="0" t="s">
        <v>4379</v>
      </c>
      <c r="E425" s="0" t="s">
        <v>4380</v>
      </c>
      <c r="F425" s="0" t="s">
        <v>3209</v>
      </c>
      <c r="G425" s="0" t="s">
        <v>4381</v>
      </c>
    </row>
    <row customHeight="1" ht="11.25">
      <c r="A426" s="373" t="s">
        <v>14</v>
      </c>
      <c r="B426" s="0" t="s">
        <v>4370</v>
      </c>
      <c r="C426" s="0" t="s">
        <v>4371</v>
      </c>
      <c r="D426" s="0" t="s">
        <v>4382</v>
      </c>
      <c r="E426" s="0" t="s">
        <v>4383</v>
      </c>
      <c r="F426" s="0" t="s">
        <v>3209</v>
      </c>
      <c r="G426" s="0" t="s">
        <v>4384</v>
      </c>
    </row>
    <row customHeight="1" ht="11.25">
      <c r="A427" s="373" t="s">
        <v>14</v>
      </c>
      <c r="B427" s="0" t="s">
        <v>4370</v>
      </c>
      <c r="C427" s="0" t="s">
        <v>4371</v>
      </c>
      <c r="D427" s="0" t="s">
        <v>4385</v>
      </c>
      <c r="E427" s="0" t="s">
        <v>4386</v>
      </c>
      <c r="F427" s="0" t="s">
        <v>3209</v>
      </c>
      <c r="G427" s="0" t="s">
        <v>4387</v>
      </c>
    </row>
    <row customHeight="1" ht="11.25">
      <c r="A428" s="373" t="s">
        <v>14</v>
      </c>
      <c r="B428" s="0" t="s">
        <v>4370</v>
      </c>
      <c r="C428" s="0" t="s">
        <v>4371</v>
      </c>
      <c r="D428" s="0" t="s">
        <v>4388</v>
      </c>
      <c r="E428" s="0" t="s">
        <v>4389</v>
      </c>
      <c r="F428" s="0" t="s">
        <v>3209</v>
      </c>
      <c r="G428" s="0" t="s">
        <v>4390</v>
      </c>
    </row>
    <row customHeight="1" ht="11.25">
      <c r="A429" s="373" t="s">
        <v>14</v>
      </c>
      <c r="B429" s="0" t="s">
        <v>4370</v>
      </c>
      <c r="C429" s="0" t="s">
        <v>4371</v>
      </c>
      <c r="D429" s="0" t="s">
        <v>4370</v>
      </c>
      <c r="E429" s="0" t="s">
        <v>4371</v>
      </c>
      <c r="F429" s="0" t="s">
        <v>3206</v>
      </c>
      <c r="G429" s="0" t="s">
        <v>4391</v>
      </c>
    </row>
    <row customHeight="1" ht="11.25">
      <c r="A430" s="373" t="s">
        <v>14</v>
      </c>
      <c r="B430" s="0" t="s">
        <v>4370</v>
      </c>
      <c r="C430" s="0" t="s">
        <v>4371</v>
      </c>
      <c r="D430" s="0" t="s">
        <v>4392</v>
      </c>
      <c r="E430" s="0" t="s">
        <v>4393</v>
      </c>
      <c r="F430" s="0" t="s">
        <v>3209</v>
      </c>
      <c r="G430" s="0" t="s">
        <v>4394</v>
      </c>
    </row>
    <row customHeight="1" ht="11.25">
      <c r="A431" s="373" t="s">
        <v>14</v>
      </c>
      <c r="B431" s="0" t="s">
        <v>4370</v>
      </c>
      <c r="C431" s="0" t="s">
        <v>4371</v>
      </c>
      <c r="D431" s="0" t="s">
        <v>4230</v>
      </c>
      <c r="E431" s="0" t="s">
        <v>4395</v>
      </c>
      <c r="F431" s="0" t="s">
        <v>3209</v>
      </c>
      <c r="G431" s="0" t="s">
        <v>4396</v>
      </c>
    </row>
    <row customHeight="1" ht="11.25">
      <c r="A432" s="373" t="s">
        <v>14</v>
      </c>
      <c r="B432" s="0" t="s">
        <v>4397</v>
      </c>
      <c r="C432" s="0" t="s">
        <v>4398</v>
      </c>
      <c r="D432" s="0" t="s">
        <v>3597</v>
      </c>
      <c r="E432" s="0" t="s">
        <v>4399</v>
      </c>
      <c r="F432" s="0" t="s">
        <v>3209</v>
      </c>
      <c r="G432" s="0" t="s">
        <v>4400</v>
      </c>
    </row>
    <row customHeight="1" ht="11.25">
      <c r="A433" s="373" t="s">
        <v>14</v>
      </c>
      <c r="B433" s="0" t="s">
        <v>4397</v>
      </c>
      <c r="C433" s="0" t="s">
        <v>4398</v>
      </c>
      <c r="D433" s="0" t="s">
        <v>4401</v>
      </c>
      <c r="E433" s="0" t="s">
        <v>4402</v>
      </c>
      <c r="F433" s="0" t="s">
        <v>3209</v>
      </c>
      <c r="G433" s="0" t="s">
        <v>4403</v>
      </c>
    </row>
    <row customHeight="1" ht="11.25">
      <c r="A434" s="373" t="s">
        <v>14</v>
      </c>
      <c r="B434" s="0" t="s">
        <v>4397</v>
      </c>
      <c r="C434" s="0" t="s">
        <v>4398</v>
      </c>
      <c r="D434" s="0" t="s">
        <v>4404</v>
      </c>
      <c r="E434" s="0" t="s">
        <v>4405</v>
      </c>
      <c r="F434" s="0" t="s">
        <v>3209</v>
      </c>
      <c r="G434" s="0" t="s">
        <v>4406</v>
      </c>
    </row>
    <row customHeight="1" ht="11.25">
      <c r="A435" s="373" t="s">
        <v>14</v>
      </c>
      <c r="B435" s="0" t="s">
        <v>4397</v>
      </c>
      <c r="C435" s="0" t="s">
        <v>4398</v>
      </c>
      <c r="D435" s="0" t="s">
        <v>4407</v>
      </c>
      <c r="E435" s="0" t="s">
        <v>4408</v>
      </c>
      <c r="F435" s="0" t="s">
        <v>3209</v>
      </c>
      <c r="G435" s="0" t="s">
        <v>4409</v>
      </c>
    </row>
    <row customHeight="1" ht="11.25">
      <c r="A436" s="373" t="s">
        <v>14</v>
      </c>
      <c r="B436" s="0" t="s">
        <v>4397</v>
      </c>
      <c r="C436" s="0" t="s">
        <v>4398</v>
      </c>
      <c r="D436" s="0" t="s">
        <v>4410</v>
      </c>
      <c r="E436" s="0" t="s">
        <v>4411</v>
      </c>
      <c r="F436" s="0" t="s">
        <v>3209</v>
      </c>
      <c r="G436" s="0" t="s">
        <v>4412</v>
      </c>
    </row>
    <row customHeight="1" ht="11.25">
      <c r="A437" s="373" t="s">
        <v>14</v>
      </c>
      <c r="B437" s="0" t="s">
        <v>4397</v>
      </c>
      <c r="C437" s="0" t="s">
        <v>4398</v>
      </c>
      <c r="D437" s="0" t="s">
        <v>4413</v>
      </c>
      <c r="E437" s="0" t="s">
        <v>4414</v>
      </c>
      <c r="F437" s="0" t="s">
        <v>3209</v>
      </c>
      <c r="G437" s="0" t="s">
        <v>4415</v>
      </c>
    </row>
    <row customHeight="1" ht="11.25">
      <c r="A438" s="373" t="s">
        <v>14</v>
      </c>
      <c r="B438" s="0" t="s">
        <v>4397</v>
      </c>
      <c r="C438" s="0" t="s">
        <v>4398</v>
      </c>
      <c r="D438" s="0" t="s">
        <v>4397</v>
      </c>
      <c r="E438" s="0" t="s">
        <v>4398</v>
      </c>
      <c r="F438" s="0" t="s">
        <v>3206</v>
      </c>
      <c r="G438" s="0" t="s">
        <v>4416</v>
      </c>
    </row>
    <row customHeight="1" ht="11.25">
      <c r="A439" s="373" t="s">
        <v>14</v>
      </c>
      <c r="B439" s="0" t="s">
        <v>4397</v>
      </c>
      <c r="C439" s="0" t="s">
        <v>4398</v>
      </c>
      <c r="D439" s="0" t="s">
        <v>4417</v>
      </c>
      <c r="E439" s="0" t="s">
        <v>4418</v>
      </c>
      <c r="F439" s="0" t="s">
        <v>3248</v>
      </c>
      <c r="G439" s="0" t="s">
        <v>4419</v>
      </c>
    </row>
    <row customHeight="1" ht="11.25">
      <c r="A440" s="373" t="s">
        <v>14</v>
      </c>
      <c r="B440" s="0" t="s">
        <v>4420</v>
      </c>
      <c r="C440" s="0" t="s">
        <v>4421</v>
      </c>
      <c r="D440" s="0" t="s">
        <v>4422</v>
      </c>
      <c r="E440" s="0" t="s">
        <v>4423</v>
      </c>
      <c r="F440" s="0" t="s">
        <v>3209</v>
      </c>
      <c r="G440" s="0" t="s">
        <v>4424</v>
      </c>
    </row>
    <row customHeight="1" ht="11.25">
      <c r="A441" s="373" t="s">
        <v>14</v>
      </c>
      <c r="B441" s="0" t="s">
        <v>4420</v>
      </c>
      <c r="C441" s="0" t="s">
        <v>4421</v>
      </c>
      <c r="D441" s="0" t="s">
        <v>3533</v>
      </c>
      <c r="E441" s="0" t="s">
        <v>4425</v>
      </c>
      <c r="F441" s="0" t="s">
        <v>3209</v>
      </c>
      <c r="G441" s="0" t="s">
        <v>4426</v>
      </c>
    </row>
    <row customHeight="1" ht="11.25">
      <c r="A442" s="373" t="s">
        <v>14</v>
      </c>
      <c r="B442" s="0" t="s">
        <v>4420</v>
      </c>
      <c r="C442" s="0" t="s">
        <v>4421</v>
      </c>
      <c r="D442" s="0" t="s">
        <v>4427</v>
      </c>
      <c r="E442" s="0" t="s">
        <v>4428</v>
      </c>
      <c r="F442" s="0" t="s">
        <v>3209</v>
      </c>
      <c r="G442" s="0" t="s">
        <v>4429</v>
      </c>
    </row>
    <row customHeight="1" ht="11.25">
      <c r="A443" s="373" t="s">
        <v>14</v>
      </c>
      <c r="B443" s="0" t="s">
        <v>4420</v>
      </c>
      <c r="C443" s="0" t="s">
        <v>4421</v>
      </c>
      <c r="D443" s="0" t="s">
        <v>3575</v>
      </c>
      <c r="E443" s="0" t="s">
        <v>4430</v>
      </c>
      <c r="F443" s="0" t="s">
        <v>3209</v>
      </c>
      <c r="G443" s="0" t="s">
        <v>4431</v>
      </c>
    </row>
    <row customHeight="1" ht="11.25">
      <c r="A444" s="373" t="s">
        <v>14</v>
      </c>
      <c r="B444" s="0" t="s">
        <v>4420</v>
      </c>
      <c r="C444" s="0" t="s">
        <v>4421</v>
      </c>
      <c r="D444" s="0" t="s">
        <v>4432</v>
      </c>
      <c r="E444" s="0" t="s">
        <v>4433</v>
      </c>
      <c r="F444" s="0" t="s">
        <v>3209</v>
      </c>
      <c r="G444" s="0" t="s">
        <v>4434</v>
      </c>
    </row>
    <row customHeight="1" ht="11.25">
      <c r="A445" s="373" t="s">
        <v>14</v>
      </c>
      <c r="B445" s="0" t="s">
        <v>4420</v>
      </c>
      <c r="C445" s="0" t="s">
        <v>4421</v>
      </c>
      <c r="D445" s="0" t="s">
        <v>4435</v>
      </c>
      <c r="E445" s="0" t="s">
        <v>4436</v>
      </c>
      <c r="F445" s="0" t="s">
        <v>3209</v>
      </c>
      <c r="G445" s="0" t="s">
        <v>4437</v>
      </c>
    </row>
    <row customHeight="1" ht="11.25">
      <c r="A446" s="373" t="s">
        <v>14</v>
      </c>
      <c r="B446" s="0" t="s">
        <v>4420</v>
      </c>
      <c r="C446" s="0" t="s">
        <v>4421</v>
      </c>
      <c r="D446" s="0" t="s">
        <v>4438</v>
      </c>
      <c r="E446" s="0" t="s">
        <v>4439</v>
      </c>
      <c r="F446" s="0" t="s">
        <v>3209</v>
      </c>
      <c r="G446" s="0" t="s">
        <v>4440</v>
      </c>
    </row>
    <row customHeight="1" ht="11.25">
      <c r="A447" s="373" t="s">
        <v>14</v>
      </c>
      <c r="B447" s="0" t="s">
        <v>4420</v>
      </c>
      <c r="C447" s="0" t="s">
        <v>4421</v>
      </c>
      <c r="D447" s="0" t="s">
        <v>4441</v>
      </c>
      <c r="E447" s="0" t="s">
        <v>4442</v>
      </c>
      <c r="F447" s="0" t="s">
        <v>3209</v>
      </c>
      <c r="G447" s="0" t="s">
        <v>4443</v>
      </c>
    </row>
    <row customHeight="1" ht="11.25">
      <c r="A448" s="373" t="s">
        <v>14</v>
      </c>
      <c r="B448" s="0" t="s">
        <v>4420</v>
      </c>
      <c r="C448" s="0" t="s">
        <v>4421</v>
      </c>
      <c r="D448" s="0" t="s">
        <v>4444</v>
      </c>
      <c r="E448" s="0" t="s">
        <v>4445</v>
      </c>
      <c r="F448" s="0" t="s">
        <v>3209</v>
      </c>
      <c r="G448" s="0" t="s">
        <v>4446</v>
      </c>
    </row>
    <row customHeight="1" ht="11.25">
      <c r="A449" s="373" t="s">
        <v>14</v>
      </c>
      <c r="B449" s="0" t="s">
        <v>4420</v>
      </c>
      <c r="C449" s="0" t="s">
        <v>4421</v>
      </c>
      <c r="D449" s="0" t="s">
        <v>4447</v>
      </c>
      <c r="E449" s="0" t="s">
        <v>4448</v>
      </c>
      <c r="F449" s="0" t="s">
        <v>3209</v>
      </c>
      <c r="G449" s="0" t="s">
        <v>4449</v>
      </c>
    </row>
    <row customHeight="1" ht="11.25">
      <c r="A450" s="373" t="s">
        <v>14</v>
      </c>
      <c r="B450" s="0" t="s">
        <v>4420</v>
      </c>
      <c r="C450" s="0" t="s">
        <v>4421</v>
      </c>
      <c r="D450" s="0" t="s">
        <v>4450</v>
      </c>
      <c r="E450" s="0" t="s">
        <v>4451</v>
      </c>
      <c r="F450" s="0" t="s">
        <v>3209</v>
      </c>
      <c r="G450" s="0" t="s">
        <v>4452</v>
      </c>
    </row>
    <row customHeight="1" ht="11.25">
      <c r="A451" s="373" t="s">
        <v>14</v>
      </c>
      <c r="B451" s="0" t="s">
        <v>4420</v>
      </c>
      <c r="C451" s="0" t="s">
        <v>4421</v>
      </c>
      <c r="D451" s="0" t="s">
        <v>4420</v>
      </c>
      <c r="E451" s="0" t="s">
        <v>4421</v>
      </c>
      <c r="F451" s="0" t="s">
        <v>3206</v>
      </c>
      <c r="G451" s="0" t="s">
        <v>4453</v>
      </c>
    </row>
    <row customHeight="1" ht="11.25">
      <c r="A452" s="373" t="s">
        <v>14</v>
      </c>
      <c r="B452" s="0" t="s">
        <v>4420</v>
      </c>
      <c r="C452" s="0" t="s">
        <v>4421</v>
      </c>
      <c r="D452" s="0" t="s">
        <v>4454</v>
      </c>
      <c r="E452" s="0" t="s">
        <v>4455</v>
      </c>
      <c r="F452" s="0" t="s">
        <v>3209</v>
      </c>
      <c r="G452" s="0" t="s">
        <v>4456</v>
      </c>
    </row>
    <row customHeight="1" ht="11.25">
      <c r="A453" s="373" t="s">
        <v>14</v>
      </c>
      <c r="B453" s="0" t="s">
        <v>4420</v>
      </c>
      <c r="C453" s="0" t="s">
        <v>4421</v>
      </c>
      <c r="D453" s="0" t="s">
        <v>4457</v>
      </c>
      <c r="E453" s="0" t="s">
        <v>4458</v>
      </c>
      <c r="F453" s="0" t="s">
        <v>3209</v>
      </c>
      <c r="G453" s="0" t="s">
        <v>4459</v>
      </c>
    </row>
    <row customHeight="1" ht="11.25">
      <c r="A454" s="373" t="s">
        <v>14</v>
      </c>
      <c r="B454" s="0" t="s">
        <v>4420</v>
      </c>
      <c r="C454" s="0" t="s">
        <v>4421</v>
      </c>
      <c r="D454" s="0" t="s">
        <v>4460</v>
      </c>
      <c r="E454" s="0" t="s">
        <v>4461</v>
      </c>
      <c r="F454" s="0" t="s">
        <v>3209</v>
      </c>
      <c r="G454" s="0" t="s">
        <v>4462</v>
      </c>
    </row>
    <row customHeight="1" ht="11.25">
      <c r="A455" s="373" t="s">
        <v>14</v>
      </c>
      <c r="B455" s="0" t="s">
        <v>4463</v>
      </c>
      <c r="C455" s="0" t="s">
        <v>4464</v>
      </c>
      <c r="D455" s="0" t="s">
        <v>4465</v>
      </c>
      <c r="E455" s="0" t="s">
        <v>4466</v>
      </c>
      <c r="F455" s="0" t="s">
        <v>3209</v>
      </c>
      <c r="G455" s="0" t="s">
        <v>4467</v>
      </c>
    </row>
    <row customHeight="1" ht="11.25">
      <c r="A456" s="373" t="s">
        <v>14</v>
      </c>
      <c r="B456" s="0" t="s">
        <v>4463</v>
      </c>
      <c r="C456" s="0" t="s">
        <v>4464</v>
      </c>
      <c r="D456" s="0" t="s">
        <v>4468</v>
      </c>
      <c r="E456" s="0" t="s">
        <v>4469</v>
      </c>
      <c r="F456" s="0" t="s">
        <v>3209</v>
      </c>
      <c r="G456" s="0" t="s">
        <v>4470</v>
      </c>
    </row>
    <row customHeight="1" ht="11.25">
      <c r="A457" s="373" t="s">
        <v>14</v>
      </c>
      <c r="B457" s="0" t="s">
        <v>4463</v>
      </c>
      <c r="C457" s="0" t="s">
        <v>4464</v>
      </c>
      <c r="D457" s="0" t="s">
        <v>4471</v>
      </c>
      <c r="E457" s="0" t="s">
        <v>4472</v>
      </c>
      <c r="F457" s="0" t="s">
        <v>3209</v>
      </c>
      <c r="G457" s="0" t="s">
        <v>4473</v>
      </c>
    </row>
    <row customHeight="1" ht="11.25">
      <c r="A458" s="373" t="s">
        <v>14</v>
      </c>
      <c r="B458" s="0" t="s">
        <v>4463</v>
      </c>
      <c r="C458" s="0" t="s">
        <v>4464</v>
      </c>
      <c r="D458" s="0" t="s">
        <v>4474</v>
      </c>
      <c r="E458" s="0" t="s">
        <v>4475</v>
      </c>
      <c r="F458" s="0" t="s">
        <v>3209</v>
      </c>
      <c r="G458" s="0" t="s">
        <v>4476</v>
      </c>
    </row>
    <row customHeight="1" ht="11.25">
      <c r="A459" s="373" t="s">
        <v>14</v>
      </c>
      <c r="B459" s="0" t="s">
        <v>4463</v>
      </c>
      <c r="C459" s="0" t="s">
        <v>4464</v>
      </c>
      <c r="D459" s="0" t="s">
        <v>3597</v>
      </c>
      <c r="E459" s="0" t="s">
        <v>4477</v>
      </c>
      <c r="F459" s="0" t="s">
        <v>3209</v>
      </c>
      <c r="G459" s="0" t="s">
        <v>4478</v>
      </c>
    </row>
    <row customHeight="1" ht="11.25">
      <c r="A460" s="373" t="s">
        <v>14</v>
      </c>
      <c r="B460" s="0" t="s">
        <v>4463</v>
      </c>
      <c r="C460" s="0" t="s">
        <v>4464</v>
      </c>
      <c r="D460" s="0" t="s">
        <v>4479</v>
      </c>
      <c r="E460" s="0" t="s">
        <v>4480</v>
      </c>
      <c r="F460" s="0" t="s">
        <v>3209</v>
      </c>
      <c r="G460" s="0" t="s">
        <v>4481</v>
      </c>
    </row>
    <row customHeight="1" ht="11.25">
      <c r="A461" s="373" t="s">
        <v>14</v>
      </c>
      <c r="B461" s="0" t="s">
        <v>4463</v>
      </c>
      <c r="C461" s="0" t="s">
        <v>4464</v>
      </c>
      <c r="D461" s="0" t="s">
        <v>4482</v>
      </c>
      <c r="E461" s="0" t="s">
        <v>4483</v>
      </c>
      <c r="F461" s="0" t="s">
        <v>3209</v>
      </c>
      <c r="G461" s="0" t="s">
        <v>4484</v>
      </c>
    </row>
    <row customHeight="1" ht="11.25">
      <c r="A462" s="373" t="s">
        <v>14</v>
      </c>
      <c r="B462" s="0" t="s">
        <v>4463</v>
      </c>
      <c r="C462" s="0" t="s">
        <v>4464</v>
      </c>
      <c r="D462" s="0" t="s">
        <v>4485</v>
      </c>
      <c r="E462" s="0" t="s">
        <v>4486</v>
      </c>
      <c r="F462" s="0" t="s">
        <v>3209</v>
      </c>
      <c r="G462" s="0" t="s">
        <v>4487</v>
      </c>
    </row>
    <row customHeight="1" ht="11.25">
      <c r="A463" s="373" t="s">
        <v>14</v>
      </c>
      <c r="B463" s="0" t="s">
        <v>4463</v>
      </c>
      <c r="C463" s="0" t="s">
        <v>4464</v>
      </c>
      <c r="D463" s="0" t="s">
        <v>4488</v>
      </c>
      <c r="E463" s="0" t="s">
        <v>4489</v>
      </c>
      <c r="F463" s="0" t="s">
        <v>3209</v>
      </c>
      <c r="G463" s="0" t="s">
        <v>4490</v>
      </c>
    </row>
    <row customHeight="1" ht="11.25">
      <c r="A464" s="373" t="s">
        <v>14</v>
      </c>
      <c r="B464" s="0" t="s">
        <v>4463</v>
      </c>
      <c r="C464" s="0" t="s">
        <v>4464</v>
      </c>
      <c r="D464" s="0" t="s">
        <v>4463</v>
      </c>
      <c r="E464" s="0" t="s">
        <v>4464</v>
      </c>
      <c r="F464" s="0" t="s">
        <v>3206</v>
      </c>
      <c r="G464" s="0" t="s">
        <v>4491</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0ADC04-B8B8-37B8-8E6C-A0513BE2A3D8}" mc:Ignorable="x14ac xr xr2 xr3">
  <sheetPr>
    <tabColor rgb="FFFFCC99"/>
  </sheetPr>
  <dimension ref="A1:D48"/>
  <sheetViews>
    <sheetView topLeftCell="A1" showGridLines="0" workbookViewId="0">
      <selection activeCell="A1" sqref="A1"/>
    </sheetView>
  </sheetViews>
  <sheetFormatPr defaultColWidth="9.140625" customHeight="1" defaultRowHeight="11.25"/>
  <cols>
    <col min="1" max="4" style="5343" width="9.140625"/>
  </cols>
  <sheetData>
    <row customHeight="1" ht="11.25">
      <c r="A1" s="841" t="s">
        <v>4492</v>
      </c>
      <c r="B1" s="841" t="s">
        <v>4493</v>
      </c>
      <c r="C1" s="841" t="s">
        <v>4494</v>
      </c>
      <c r="D1" s="841" t="s">
        <v>4495</v>
      </c>
    </row>
    <row customHeight="1" ht="11.25">
      <c r="A2" s="5344" t="s">
        <v>108</v>
      </c>
      <c r="B2" s="5344" t="s">
        <v>4496</v>
      </c>
      <c r="C2" s="5344" t="s">
        <v>4497</v>
      </c>
      <c r="D2" s="5344" t="s">
        <v>4498</v>
      </c>
    </row>
    <row customHeight="1" ht="11.25">
      <c r="A3" s="5344" t="s">
        <v>109</v>
      </c>
      <c r="B3" s="5344" t="s">
        <v>4499</v>
      </c>
      <c r="C3" s="5344" t="s">
        <v>4497</v>
      </c>
      <c r="D3" s="5344" t="s">
        <v>4498</v>
      </c>
    </row>
    <row customHeight="1" ht="11.25">
      <c r="A4" s="5344" t="s">
        <v>89</v>
      </c>
      <c r="B4" s="5344" t="s">
        <v>4500</v>
      </c>
      <c r="C4" s="5344" t="s">
        <v>4497</v>
      </c>
      <c r="D4" s="5344" t="s">
        <v>4501</v>
      </c>
    </row>
    <row customHeight="1" ht="11.25">
      <c r="A5" s="5344" t="s">
        <v>90</v>
      </c>
      <c r="B5" s="5344" t="s">
        <v>4502</v>
      </c>
      <c r="C5" s="5344" t="s">
        <v>4497</v>
      </c>
      <c r="D5" s="5344" t="s">
        <v>4498</v>
      </c>
    </row>
    <row customHeight="1" ht="11.25">
      <c r="A6" s="5344" t="s">
        <v>110</v>
      </c>
      <c r="B6" s="5344" t="s">
        <v>4503</v>
      </c>
      <c r="C6" s="5344" t="s">
        <v>4497</v>
      </c>
      <c r="D6" s="5344" t="s">
        <v>4498</v>
      </c>
    </row>
    <row customHeight="1" ht="11.25">
      <c r="A7" s="5344" t="s">
        <v>91</v>
      </c>
      <c r="B7" s="5344" t="s">
        <v>4504</v>
      </c>
      <c r="C7" s="5344" t="s">
        <v>4497</v>
      </c>
      <c r="D7" s="5344" t="s">
        <v>4501</v>
      </c>
    </row>
    <row customHeight="1" ht="11.25">
      <c r="A8" s="5344" t="s">
        <v>92</v>
      </c>
      <c r="B8" s="5344" t="s">
        <v>4505</v>
      </c>
      <c r="C8" s="5344" t="s">
        <v>4497</v>
      </c>
      <c r="D8" s="5344" t="s">
        <v>4501</v>
      </c>
    </row>
    <row customHeight="1" ht="11.25">
      <c r="A9" s="5344" t="s">
        <v>111</v>
      </c>
      <c r="B9" s="5344" t="s">
        <v>4506</v>
      </c>
      <c r="C9" s="5344" t="s">
        <v>4497</v>
      </c>
      <c r="D9" s="5344" t="s">
        <v>4501</v>
      </c>
    </row>
    <row customHeight="1" ht="11.25">
      <c r="A10" s="5344" t="s">
        <v>147</v>
      </c>
      <c r="B10" s="5344" t="s">
        <v>4507</v>
      </c>
      <c r="C10" s="5344" t="s">
        <v>4497</v>
      </c>
      <c r="D10" s="5344" t="s">
        <v>4498</v>
      </c>
    </row>
    <row customHeight="1" ht="11.25">
      <c r="A11" s="5344" t="s">
        <v>148</v>
      </c>
      <c r="B11" s="5344" t="s">
        <v>4508</v>
      </c>
      <c r="C11" s="5344" t="s">
        <v>4497</v>
      </c>
      <c r="D11" s="5344" t="s">
        <v>4498</v>
      </c>
    </row>
    <row customHeight="1" ht="11.25">
      <c r="A12" s="5344" t="s">
        <v>149</v>
      </c>
      <c r="B12" s="5344" t="s">
        <v>4509</v>
      </c>
      <c r="C12" s="5344" t="s">
        <v>4497</v>
      </c>
      <c r="D12" s="5344" t="s">
        <v>4501</v>
      </c>
    </row>
    <row customHeight="1" ht="11.25">
      <c r="A13" s="5344" t="s">
        <v>150</v>
      </c>
      <c r="B13" s="5344" t="s">
        <v>4510</v>
      </c>
      <c r="C13" s="5344" t="s">
        <v>4497</v>
      </c>
      <c r="D13" s="5344" t="s">
        <v>4511</v>
      </c>
    </row>
    <row customHeight="1" ht="11.25">
      <c r="A14" s="5344" t="s">
        <v>151</v>
      </c>
      <c r="B14" s="5344" t="s">
        <v>4512</v>
      </c>
      <c r="C14" s="5344" t="s">
        <v>4497</v>
      </c>
      <c r="D14" s="5344" t="s">
        <v>4501</v>
      </c>
    </row>
    <row customHeight="1" ht="11.25">
      <c r="A15" s="5344" t="s">
        <v>152</v>
      </c>
      <c r="B15" s="5344" t="s">
        <v>4513</v>
      </c>
      <c r="C15" s="5344" t="s">
        <v>4497</v>
      </c>
      <c r="D15" s="5344" t="s">
        <v>4501</v>
      </c>
    </row>
    <row customHeight="1" ht="11.25">
      <c r="A16" s="5344" t="s">
        <v>1468</v>
      </c>
      <c r="B16" s="5344" t="s">
        <v>4514</v>
      </c>
      <c r="C16" s="5344" t="s">
        <v>4515</v>
      </c>
      <c r="D16" s="5344" t="s">
        <v>4516</v>
      </c>
    </row>
    <row customHeight="1" ht="11.25">
      <c r="A17" s="5344" t="s">
        <v>1474</v>
      </c>
      <c r="B17" s="5344" t="s">
        <v>4517</v>
      </c>
      <c r="C17" s="5344" t="s">
        <v>4518</v>
      </c>
      <c r="D17" s="5344" t="s">
        <v>4516</v>
      </c>
    </row>
    <row customHeight="1" ht="11.25">
      <c r="A18" s="5344" t="s">
        <v>1485</v>
      </c>
      <c r="B18" s="5344" t="s">
        <v>4519</v>
      </c>
      <c r="C18" s="5344" t="s">
        <v>4520</v>
      </c>
      <c r="D18" s="5344" t="s">
        <v>4521</v>
      </c>
    </row>
    <row customHeight="1" ht="11.25">
      <c r="A19" s="5344" t="s">
        <v>1499</v>
      </c>
      <c r="B19" s="5344" t="s">
        <v>4522</v>
      </c>
      <c r="C19" s="5344" t="s">
        <v>4520</v>
      </c>
      <c r="D19" s="5344" t="s">
        <v>4521</v>
      </c>
    </row>
    <row customHeight="1" ht="11.25">
      <c r="A20" s="5344" t="s">
        <v>1511</v>
      </c>
      <c r="B20" s="5344" t="s">
        <v>4523</v>
      </c>
      <c r="C20" s="5344" t="s">
        <v>4524</v>
      </c>
      <c r="D20" s="5344" t="s">
        <v>4516</v>
      </c>
    </row>
    <row customHeight="1" ht="11.25">
      <c r="A21" s="5344" t="s">
        <v>1520</v>
      </c>
      <c r="B21" s="5344" t="s">
        <v>4525</v>
      </c>
      <c r="C21" s="5344" t="s">
        <v>4524</v>
      </c>
      <c r="D21" s="5344" t="s">
        <v>4516</v>
      </c>
    </row>
    <row customHeight="1" ht="11.25">
      <c r="A22" s="5344" t="s">
        <v>1536</v>
      </c>
      <c r="B22" s="5344" t="s">
        <v>4526</v>
      </c>
      <c r="C22" s="5344" t="s">
        <v>4524</v>
      </c>
      <c r="D22" s="5344" t="s">
        <v>4527</v>
      </c>
    </row>
    <row customHeight="1" ht="11.25">
      <c r="A23" s="5344" t="s">
        <v>1543</v>
      </c>
      <c r="B23" s="5344" t="s">
        <v>4528</v>
      </c>
      <c r="C23" s="5344" t="s">
        <v>4524</v>
      </c>
      <c r="D23" s="5344" t="s">
        <v>4529</v>
      </c>
    </row>
    <row customHeight="1" ht="11.25">
      <c r="A24" s="5344" t="s">
        <v>1551</v>
      </c>
      <c r="B24" s="5344" t="s">
        <v>4530</v>
      </c>
      <c r="C24" s="5344" t="s">
        <v>4524</v>
      </c>
      <c r="D24" s="5344" t="s">
        <v>4529</v>
      </c>
    </row>
    <row customHeight="1" ht="11.25">
      <c r="A25" s="5344" t="s">
        <v>1558</v>
      </c>
      <c r="B25" s="5344" t="s">
        <v>4531</v>
      </c>
      <c r="C25" s="5344" t="s">
        <v>4532</v>
      </c>
      <c r="D25" s="5344" t="s">
        <v>4527</v>
      </c>
    </row>
    <row customHeight="1" ht="11.25">
      <c r="A26" s="5344" t="s">
        <v>1562</v>
      </c>
      <c r="B26" s="5344" t="s">
        <v>4533</v>
      </c>
      <c r="C26" s="5344" t="s">
        <v>4534</v>
      </c>
      <c r="D26" s="5344" t="s">
        <v>4527</v>
      </c>
    </row>
    <row customHeight="1" ht="11.25">
      <c r="A27" s="5344" t="s">
        <v>1567</v>
      </c>
      <c r="B27" s="5344" t="s">
        <v>4535</v>
      </c>
      <c r="C27" s="5344" t="s">
        <v>4534</v>
      </c>
      <c r="D27" s="5344" t="s">
        <v>4527</v>
      </c>
    </row>
    <row customHeight="1" ht="11.25">
      <c r="A28" s="5344" t="s">
        <v>1575</v>
      </c>
      <c r="B28" s="5344" t="s">
        <v>4536</v>
      </c>
      <c r="C28" s="5344" t="s">
        <v>4534</v>
      </c>
      <c r="D28" s="5344" t="s">
        <v>4498</v>
      </c>
    </row>
    <row customHeight="1" ht="11.25">
      <c r="A29" s="5344" t="s">
        <v>1577</v>
      </c>
      <c r="B29" s="5344" t="s">
        <v>4537</v>
      </c>
      <c r="C29" s="5344" t="s">
        <v>4534</v>
      </c>
      <c r="D29" s="5344" t="s">
        <v>4529</v>
      </c>
    </row>
    <row customHeight="1" ht="11.25">
      <c r="A30" s="5344" t="s">
        <v>1580</v>
      </c>
      <c r="B30" s="5344" t="s">
        <v>4538</v>
      </c>
      <c r="C30" s="5344" t="s">
        <v>4534</v>
      </c>
      <c r="D30" s="5344" t="s">
        <v>4501</v>
      </c>
    </row>
    <row customHeight="1" ht="11.25">
      <c r="A31" s="5344" t="s">
        <v>1585</v>
      </c>
      <c r="B31" s="5344" t="s">
        <v>4539</v>
      </c>
      <c r="C31" s="5344" t="s">
        <v>4534</v>
      </c>
      <c r="D31" s="5344" t="s">
        <v>4527</v>
      </c>
    </row>
    <row customHeight="1" ht="11.25">
      <c r="A32" s="5344" t="s">
        <v>1587</v>
      </c>
      <c r="B32" s="5344" t="s">
        <v>4540</v>
      </c>
      <c r="C32" s="5344" t="s">
        <v>4541</v>
      </c>
      <c r="D32" s="5344" t="s">
        <v>4529</v>
      </c>
    </row>
    <row customHeight="1" ht="11.25">
      <c r="A33" s="5344" t="s">
        <v>1589</v>
      </c>
      <c r="B33" s="5344" t="s">
        <v>4542</v>
      </c>
      <c r="C33" s="5344" t="s">
        <v>4541</v>
      </c>
      <c r="D33" s="5344" t="s">
        <v>4529</v>
      </c>
    </row>
    <row customHeight="1" ht="11.25">
      <c r="A34" s="5344" t="s">
        <v>1591</v>
      </c>
      <c r="B34" s="5344" t="s">
        <v>4543</v>
      </c>
      <c r="C34" s="5344" t="s">
        <v>4541</v>
      </c>
      <c r="D34" s="5344" t="s">
        <v>4544</v>
      </c>
    </row>
    <row customHeight="1" ht="11.25">
      <c r="A35" s="5344" t="s">
        <v>1596</v>
      </c>
      <c r="B35" s="5344" t="s">
        <v>4545</v>
      </c>
      <c r="C35" s="5344" t="s">
        <v>4541</v>
      </c>
      <c r="D35" s="5344" t="s">
        <v>4529</v>
      </c>
    </row>
    <row customHeight="1" ht="11.25">
      <c r="A36" s="5344" t="s">
        <v>1601</v>
      </c>
      <c r="B36" s="5344" t="s">
        <v>4546</v>
      </c>
      <c r="C36" s="5344" t="s">
        <v>4541</v>
      </c>
      <c r="D36" s="5344" t="s">
        <v>4529</v>
      </c>
    </row>
    <row customHeight="1" ht="11.25">
      <c r="A37" s="5344" t="s">
        <v>1605</v>
      </c>
      <c r="B37" s="5344" t="s">
        <v>4547</v>
      </c>
      <c r="C37" s="5344" t="s">
        <v>4541</v>
      </c>
      <c r="D37" s="5344" t="s">
        <v>4529</v>
      </c>
    </row>
    <row customHeight="1" ht="11.25">
      <c r="A38" s="5344" t="s">
        <v>1613</v>
      </c>
      <c r="B38" s="5344" t="s">
        <v>4548</v>
      </c>
      <c r="C38" s="5344" t="s">
        <v>4541</v>
      </c>
      <c r="D38" s="5344" t="s">
        <v>4498</v>
      </c>
    </row>
    <row customHeight="1" ht="11.25">
      <c r="A39" s="5344" t="s">
        <v>1619</v>
      </c>
      <c r="B39" s="5344" t="s">
        <v>4549</v>
      </c>
      <c r="C39" s="5344" t="s">
        <v>4550</v>
      </c>
      <c r="D39" s="5344" t="s">
        <v>4544</v>
      </c>
    </row>
    <row customHeight="1" ht="11.25">
      <c r="A40" s="5344" t="s">
        <v>1624</v>
      </c>
      <c r="B40" s="5344" t="s">
        <v>4551</v>
      </c>
      <c r="C40" s="5344" t="s">
        <v>4541</v>
      </c>
      <c r="D40" s="5344" t="s">
        <v>4498</v>
      </c>
    </row>
    <row customHeight="1" ht="11.25">
      <c r="A41" s="5344" t="s">
        <v>1628</v>
      </c>
      <c r="B41" s="5344" t="s">
        <v>4552</v>
      </c>
      <c r="C41" s="5344" t="s">
        <v>4541</v>
      </c>
      <c r="D41" s="5344" t="s">
        <v>4529</v>
      </c>
    </row>
    <row customHeight="1" ht="11.25">
      <c r="A42" s="5344" t="s">
        <v>1631</v>
      </c>
      <c r="B42" s="5344" t="s">
        <v>4553</v>
      </c>
      <c r="C42" s="5344" t="s">
        <v>4554</v>
      </c>
      <c r="D42" s="5344" t="s">
        <v>4529</v>
      </c>
    </row>
    <row customHeight="1" ht="11.25">
      <c r="A43" s="5344" t="s">
        <v>1638</v>
      </c>
      <c r="B43" s="5344" t="s">
        <v>4555</v>
      </c>
      <c r="C43" s="5344" t="s">
        <v>4554</v>
      </c>
      <c r="D43" s="5344" t="s">
        <v>4529</v>
      </c>
    </row>
    <row customHeight="1" ht="11.25">
      <c r="A44" s="5344" t="s">
        <v>1647</v>
      </c>
      <c r="B44" s="5344" t="s">
        <v>4556</v>
      </c>
      <c r="C44" s="5344" t="s">
        <v>4554</v>
      </c>
      <c r="D44" s="5344" t="s">
        <v>4529</v>
      </c>
    </row>
    <row customHeight="1" ht="11.25">
      <c r="A45" s="5344" t="s">
        <v>1652</v>
      </c>
      <c r="B45" s="5344" t="s">
        <v>4557</v>
      </c>
      <c r="C45" s="5344" t="s">
        <v>4558</v>
      </c>
      <c r="D45" s="5344" t="s">
        <v>4516</v>
      </c>
    </row>
    <row customHeight="1" ht="11.25">
      <c r="A46" s="5344" t="s">
        <v>1656</v>
      </c>
      <c r="B46" s="5344" t="s">
        <v>4559</v>
      </c>
      <c r="C46" s="5344" t="s">
        <v>4534</v>
      </c>
      <c r="D46" s="5344" t="s">
        <v>4527</v>
      </c>
    </row>
    <row customHeight="1" ht="11.25">
      <c r="A47" s="5344" t="s">
        <v>1662</v>
      </c>
      <c r="B47" s="5344" t="s">
        <v>4560</v>
      </c>
      <c r="C47" s="5344" t="s">
        <v>4520</v>
      </c>
      <c r="D47" s="5344" t="s">
        <v>4527</v>
      </c>
    </row>
    <row customHeight="1" ht="11.25">
      <c r="A48" s="5344" t="s">
        <v>1667</v>
      </c>
      <c r="B48" s="5344" t="s">
        <v>4561</v>
      </c>
      <c r="C48" s="5344" t="s">
        <v>4497</v>
      </c>
      <c r="D48" s="5344" t="s">
        <v>4562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3F7E5D-6AB6-DA78-9BBB-9F873F615FC1}"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6E95C8-EEB8-5CF8-0378-54A8122083E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5345" width="9.140625"/>
  </cols>
  <sheetData>
    <row customHeight="1" ht="11.25">
      <c r="A1" s="169" t="s">
        <v>129</v>
      </c>
      <c r="B1" s="169" t="s">
        <v>4563</v>
      </c>
    </row>
    <row customHeight="1" ht="11.25">
      <c r="A2" s="5346" t="s">
        <v>97</v>
      </c>
      <c r="B2" s="5346" t="s">
        <v>4564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E40238-906E-3868-5B4B-D18448AE2BE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5343" width="9.140625"/>
    <col min="2" max="2" style="5343" width="65.28125" customWidth="1"/>
  </cols>
  <sheetData>
    <row customHeight="1" ht="11.25">
      <c r="A1" s="841" t="s">
        <v>4565</v>
      </c>
      <c r="B1" s="841" t="s">
        <v>4566</v>
      </c>
    </row>
    <row customHeight="1" ht="11.25">
      <c r="A2" s="841">
        <v>4213775</v>
      </c>
      <c r="B2" s="841" t="s">
        <v>1228</v>
      </c>
    </row>
    <row customHeight="1" ht="11.25">
      <c r="A3" s="841">
        <v>4213784</v>
      </c>
      <c r="B3" s="841" t="s">
        <v>1261</v>
      </c>
    </row>
    <row customHeight="1" ht="11.25">
      <c r="A4" s="841">
        <v>4213781</v>
      </c>
      <c r="B4" s="841" t="s">
        <v>1254</v>
      </c>
    </row>
    <row customHeight="1" ht="11.25">
      <c r="A5" s="841">
        <v>4213776</v>
      </c>
      <c r="B5" s="841" t="s">
        <v>171</v>
      </c>
    </row>
    <row customHeight="1" ht="11.25">
      <c r="A6" s="841">
        <v>4213777</v>
      </c>
      <c r="B6" s="841" t="s">
        <v>177</v>
      </c>
    </row>
    <row customHeight="1" ht="11.25">
      <c r="A7" s="841">
        <v>4213778</v>
      </c>
      <c r="B7" s="841" t="s">
        <v>183</v>
      </c>
    </row>
    <row customHeight="1" ht="11.25">
      <c r="A8" s="841">
        <v>4213780</v>
      </c>
      <c r="B8" s="841" t="s">
        <v>189</v>
      </c>
    </row>
    <row customHeight="1" ht="11.25">
      <c r="A9" s="841">
        <v>4213779</v>
      </c>
      <c r="B9" s="841" t="s">
        <v>1393</v>
      </c>
    </row>
    <row customHeight="1" ht="11.25">
      <c r="A10" s="841">
        <v>4213783</v>
      </c>
      <c r="B10" s="841" t="s">
        <v>1408</v>
      </c>
    </row>
    <row customHeight="1" ht="11.25">
      <c r="A11" s="841">
        <v>4213782</v>
      </c>
      <c r="B11" s="841" t="s">
        <v>195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152931-647F-662F-3EA3-F5082E2904C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5343" width="9.140625"/>
    <col min="2" max="2" style="5343" width="65.28125" customWidth="1"/>
  </cols>
  <sheetData>
    <row customHeight="1" ht="11.25">
      <c r="A1" s="841" t="s">
        <v>4565</v>
      </c>
      <c r="B1" s="841" t="s">
        <v>4567</v>
      </c>
    </row>
    <row customHeight="1" ht="11.25">
      <c r="A2" s="841" t="s">
        <v>4568</v>
      </c>
      <c r="B2" s="841" t="s">
        <v>1505</v>
      </c>
    </row>
    <row customHeight="1" ht="11.25">
      <c r="A3" s="841" t="s">
        <v>4569</v>
      </c>
      <c r="B3" s="841" t="s">
        <v>1515</v>
      </c>
    </row>
    <row customHeight="1" ht="11.25">
      <c r="A4" s="841" t="s">
        <v>4570</v>
      </c>
      <c r="B4" s="841" t="s">
        <v>1524</v>
      </c>
    </row>
    <row customHeight="1" ht="11.25">
      <c r="A5" s="841" t="s">
        <v>4571</v>
      </c>
      <c r="B5" s="841" t="s">
        <v>1533</v>
      </c>
    </row>
    <row customHeight="1" ht="11.25">
      <c r="A6" s="841" t="s">
        <v>4572</v>
      </c>
      <c r="B6" s="841" t="s">
        <v>1539</v>
      </c>
    </row>
    <row customHeight="1" ht="11.25">
      <c r="A7" s="841" t="s">
        <v>4573</v>
      </c>
      <c r="B7" s="841" t="s">
        <v>1547</v>
      </c>
    </row>
    <row customHeight="1" ht="11.25">
      <c r="A8" s="841" t="s">
        <v>4574</v>
      </c>
      <c r="B8" s="841" t="s">
        <v>1554</v>
      </c>
    </row>
    <row customHeight="1" ht="11.25">
      <c r="A9" s="841" t="s">
        <v>4575</v>
      </c>
      <c r="B9" s="841" t="s">
        <v>1560</v>
      </c>
    </row>
    <row customHeight="1" ht="11.25">
      <c r="A10" s="841" t="s">
        <v>4576</v>
      </c>
      <c r="B10" s="841" t="s">
        <v>1564</v>
      </c>
    </row>
    <row customHeight="1" ht="11.25">
      <c r="A11" s="841" t="s">
        <v>4577</v>
      </c>
      <c r="B11" s="841" t="s">
        <v>1571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77F618-9EFD-F283-EB9A-7F8CD096CAA8}" mc:Ignorable="x14ac xr xr2 xr3">
  <sheetPr>
    <tabColor theme="3" tint="0.6"/>
  </sheetPr>
  <dimension ref="A1:AS17"/>
  <sheetViews>
    <sheetView topLeftCell="A1" showGridLines="0" zoomScale="90" workbookViewId="0">
      <selection activeCell="A1" sqref="A1"/>
    </sheetView>
  </sheetViews>
  <sheetFormatPr defaultColWidth="10.57421875" customHeight="1" defaultRowHeight="14.25"/>
  <cols>
    <col min="1" max="1" style="3152" width="9.140625" hidden="1" customWidth="1"/>
    <col min="2" max="2" style="3131" width="9.140625" hidden="1" customWidth="1"/>
    <col min="3" max="3" style="3153" width="3.7109375" customWidth="1"/>
    <col min="4" max="4" style="3131" width="5.57421875" customWidth="1"/>
    <col min="5" max="5" style="3131" width="48.421875" customWidth="1"/>
    <col min="6" max="6" style="3131" width="38.140625" customWidth="1"/>
    <col min="7" max="7" style="2624" width="1.7109375" hidden="1" customWidth="1"/>
    <col min="8" max="11" style="3131" width="19.8515625" customWidth="1"/>
    <col min="12" max="12" style="3131" width="9.7109375" customWidth="1"/>
    <col min="13" max="18" style="3131" width="19.8515625" customWidth="1"/>
    <col min="19" max="19" style="2624" width="1.7109375" hidden="1" customWidth="1"/>
    <col min="20" max="22" style="3154" width="19.8515625" hidden="1" customWidth="1"/>
    <col min="23" max="23" style="2624" width="1.7109375" hidden="1" customWidth="1"/>
    <col min="24" max="26" style="3154" width="19.8515625" hidden="1" customWidth="1"/>
    <col min="27" max="27" style="2624" width="1.7109375" hidden="1" customWidth="1"/>
    <col min="28" max="29" style="3154" width="19.8515625" hidden="1" customWidth="1"/>
    <col min="30" max="30" style="2624" width="1.7109375" hidden="1" customWidth="1"/>
    <col min="31" max="31" style="3131" width="103.7109375" customWidth="1"/>
    <col min="32" max="34" style="3154" width="103.7109375" hidden="1" customWidth="1"/>
    <col min="35" max="35" style="3155" width="3.7109375" customWidth="1"/>
    <col min="36" max="38" style="3108" width="10.57421875"/>
    <col min="39" max="39" style="3108" width="13.7109375" hidden="1" customWidth="1"/>
    <col min="40" max="40" style="3108" width="15.421875" customWidth="1"/>
    <col min="41" max="41" style="3108" width="16.28125" customWidth="1"/>
    <col min="42" max="45" style="3108" width="10.57421875"/>
  </cols>
  <sheetData>
    <row customHeight="1" ht="14.25" hidden="1">
      <c r="E1" s="418"/>
      <c r="F1" s="418"/>
      <c r="G1" s="418"/>
      <c r="H1" s="2082" t="s">
        <v>345</v>
      </c>
      <c r="I1" s="2082"/>
      <c r="J1" s="2082"/>
      <c r="K1" s="2082"/>
      <c r="L1" s="2082"/>
      <c r="M1" s="2082"/>
      <c r="N1" s="2082"/>
      <c r="O1" s="2082"/>
      <c r="P1" s="2082"/>
      <c r="Q1" s="2082"/>
      <c r="R1" s="2082"/>
      <c r="T1" s="2082" t="s">
        <v>346</v>
      </c>
      <c r="U1" s="2082"/>
      <c r="V1" s="2082"/>
      <c r="X1" s="2082" t="s">
        <v>347</v>
      </c>
      <c r="Y1" s="2082"/>
      <c r="Z1" s="2082"/>
      <c r="AB1" s="2082" t="s">
        <v>348</v>
      </c>
      <c r="AC1" s="2082"/>
    </row>
    <row customHeight="1" ht="14.25" hidden="1"/>
    <row s="3091" customFormat="1" customHeight="1" ht="6">
      <c r="C3" s="707"/>
      <c r="D3" s="708"/>
      <c r="E3" s="708"/>
      <c r="F3" s="708"/>
      <c r="G3" s="708"/>
      <c r="H3" s="708" t="s">
        <v>349</v>
      </c>
      <c r="I3" s="708"/>
      <c r="J3" s="708"/>
      <c r="K3" s="708"/>
      <c r="L3" s="708"/>
      <c r="M3" s="708"/>
      <c r="N3" s="708"/>
      <c r="O3" s="708"/>
      <c r="P3" s="708"/>
      <c r="Q3" s="708"/>
      <c r="R3" s="708"/>
      <c r="S3" s="708"/>
      <c r="T3" s="708"/>
      <c r="U3" s="708"/>
      <c r="V3" s="708"/>
      <c r="W3" s="708"/>
      <c r="X3" s="708"/>
      <c r="Y3" s="708"/>
      <c r="Z3" s="708"/>
      <c r="AA3" s="708"/>
      <c r="AB3" s="708"/>
      <c r="AC3" s="708"/>
      <c r="AD3" s="708"/>
      <c r="AE3" s="708"/>
      <c r="AF3" s="708"/>
      <c r="AG3" s="708"/>
      <c r="AH3" s="708"/>
      <c r="AJ3" s="517"/>
      <c r="AK3" s="517"/>
      <c r="AL3" s="517"/>
      <c r="AM3" s="517"/>
      <c r="AN3" s="517"/>
      <c r="AO3" s="517"/>
      <c r="AP3" s="517"/>
      <c r="AQ3" s="517"/>
      <c r="AR3" s="517"/>
      <c r="AS3" s="517"/>
    </row>
    <row customHeight="1" ht="37.5">
      <c r="C4" s="456"/>
      <c r="D4" s="2019"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020"/>
      <c r="F4" s="2020"/>
      <c r="G4" s="2020"/>
      <c r="H4" s="2020"/>
      <c r="I4" s="2020"/>
      <c r="J4" s="2020"/>
      <c r="K4" s="2020"/>
      <c r="L4" s="2020"/>
      <c r="M4" s="2020"/>
      <c r="N4" s="2020"/>
      <c r="O4" s="2020"/>
      <c r="P4" s="2020"/>
      <c r="Q4" s="2020"/>
      <c r="R4" s="2021"/>
      <c r="S4" s="859"/>
      <c r="T4" s="705"/>
      <c r="U4" s="705"/>
      <c r="V4" s="705"/>
      <c r="W4" s="705"/>
      <c r="X4" s="705"/>
      <c r="Y4" s="705"/>
      <c r="Z4" s="705"/>
      <c r="AA4" s="705"/>
      <c r="AB4" s="705"/>
      <c r="AC4" s="705"/>
      <c r="AD4" s="705"/>
      <c r="AE4" s="497"/>
      <c r="AF4" s="497"/>
      <c r="AG4" s="497"/>
      <c r="AH4" s="497"/>
      <c r="AI4" s="494"/>
    </row>
    <row s="2624" customFormat="1" customHeight="1" ht="17.25">
      <c r="A5" s="765"/>
      <c r="C5" s="828"/>
      <c r="D5" s="2079" t="str">
        <f>IF(org=0,"Не определено",org)</f>
        <v>МУП г. Азова "Теплоэнерго"</v>
      </c>
      <c r="E5" s="2080"/>
      <c r="F5" s="2080"/>
      <c r="G5" s="2080"/>
      <c r="H5" s="2080"/>
      <c r="I5" s="2080"/>
      <c r="J5" s="2080"/>
      <c r="K5" s="2080"/>
      <c r="L5" s="2080"/>
      <c r="M5" s="2080"/>
      <c r="N5" s="2080"/>
      <c r="O5" s="2080"/>
      <c r="P5" s="2080"/>
      <c r="Q5" s="2080"/>
      <c r="R5" s="2081"/>
      <c r="S5" s="859"/>
      <c r="T5" s="705"/>
      <c r="U5" s="705"/>
      <c r="V5" s="705"/>
      <c r="W5" s="705"/>
      <c r="X5" s="705"/>
      <c r="Y5" s="705"/>
      <c r="Z5" s="705"/>
      <c r="AA5" s="705"/>
      <c r="AB5" s="705"/>
      <c r="AC5" s="705"/>
      <c r="AD5" s="705"/>
      <c r="AE5" s="497"/>
      <c r="AF5" s="497"/>
      <c r="AG5" s="497"/>
      <c r="AH5" s="497"/>
      <c r="AI5" s="494"/>
      <c r="AJ5" s="517"/>
      <c r="AK5" s="517"/>
      <c r="AL5" s="517"/>
      <c r="AM5" s="517"/>
      <c r="AN5" s="517"/>
      <c r="AO5" s="517"/>
      <c r="AP5" s="517"/>
      <c r="AQ5" s="517"/>
      <c r="AR5" s="517"/>
      <c r="AS5" s="517"/>
    </row>
    <row s="3103" customFormat="1" customHeight="1" ht="11.25">
      <c r="A6" s="485"/>
      <c r="C6" s="492"/>
      <c r="D6" s="491"/>
      <c r="E6" s="491"/>
      <c r="F6" s="491"/>
      <c r="G6" s="491"/>
      <c r="H6" s="491"/>
      <c r="I6" s="491"/>
      <c r="J6" s="491"/>
      <c r="K6" s="491"/>
      <c r="L6" s="491"/>
      <c r="M6" s="491"/>
      <c r="N6" s="491"/>
      <c r="O6" s="491"/>
      <c r="P6" s="491"/>
      <c r="Q6" s="491"/>
      <c r="R6" s="758"/>
      <c r="S6" s="758"/>
      <c r="T6" s="491"/>
      <c r="U6" s="491"/>
      <c r="V6" s="718"/>
      <c r="W6" s="718"/>
      <c r="X6" s="491"/>
      <c r="Y6" s="491"/>
      <c r="Z6" s="718"/>
      <c r="AA6" s="718"/>
      <c r="AB6" s="491"/>
      <c r="AC6" s="718"/>
      <c r="AD6" s="718"/>
      <c r="AE6" s="491"/>
      <c r="AF6" s="491"/>
      <c r="AG6" s="491"/>
      <c r="AH6" s="491"/>
      <c r="AJ6" s="495"/>
      <c r="AK6" s="495"/>
      <c r="AL6" s="495"/>
      <c r="AM6" s="495"/>
      <c r="AN6" s="495"/>
      <c r="AO6" s="495"/>
      <c r="AP6" s="495"/>
      <c r="AQ6" s="495"/>
      <c r="AR6" s="495"/>
      <c r="AS6" s="495"/>
    </row>
    <row customHeight="1" ht="14.25">
      <c r="C7" s="456"/>
      <c r="D7" s="2068" t="s">
        <v>291</v>
      </c>
      <c r="E7" s="2083"/>
      <c r="F7" s="2083"/>
      <c r="G7" s="2083"/>
      <c r="H7" s="2083"/>
      <c r="I7" s="2083"/>
      <c r="J7" s="2083"/>
      <c r="K7" s="2083"/>
      <c r="L7" s="2083"/>
      <c r="M7" s="2083"/>
      <c r="N7" s="2083"/>
      <c r="O7" s="2083"/>
      <c r="P7" s="2083"/>
      <c r="Q7" s="2083"/>
      <c r="R7" s="2083"/>
      <c r="S7" s="2083"/>
      <c r="T7" s="2083"/>
      <c r="U7" s="2083"/>
      <c r="V7" s="2083"/>
      <c r="W7" s="2083"/>
      <c r="X7" s="2083"/>
      <c r="Y7" s="2083"/>
      <c r="Z7" s="2083"/>
      <c r="AA7" s="2083"/>
      <c r="AB7" s="2083"/>
      <c r="AC7" s="2083"/>
      <c r="AD7" s="2084"/>
      <c r="AE7" s="2067" t="s">
        <v>292</v>
      </c>
      <c r="AF7" s="2067" t="s">
        <v>292</v>
      </c>
      <c r="AG7" s="2067" t="s">
        <v>292</v>
      </c>
      <c r="AH7" s="2067" t="s">
        <v>292</v>
      </c>
    </row>
    <row customHeight="1" ht="25.5">
      <c r="C8" s="456"/>
      <c r="D8" s="1971" t="s">
        <v>87</v>
      </c>
      <c r="E8" s="2067" t="str">
        <f>"Наименование "&amp;IF(TEMPLATE_SPHERE&lt;&gt;"HEAT","централизованной ","")&amp;"системы "&amp;TEMPLATE_SPHERE_RUS</f>
        <v>Наименование системы теплоснабжения</v>
      </c>
      <c r="F8" s="2067" t="str">
        <f>IF(TEMPLATE_SPHERE&lt;&gt;"HEAT","Регулируемый вид деятельности","Вид регулируемой деятельности")</f>
        <v>Вид регулируемой деятельности</v>
      </c>
      <c r="G8" s="834"/>
      <c r="H8" s="2073" t="s">
        <v>350</v>
      </c>
      <c r="I8" s="2075" t="s">
        <v>351</v>
      </c>
      <c r="J8" s="2067" t="s">
        <v>352</v>
      </c>
      <c r="K8" s="2067"/>
      <c r="L8" s="2067"/>
      <c r="M8" s="2068"/>
      <c r="N8" s="2067" t="s">
        <v>353</v>
      </c>
      <c r="O8" s="2067"/>
      <c r="P8" s="2067" t="s">
        <v>354</v>
      </c>
      <c r="Q8" s="2067"/>
      <c r="R8" s="2071" t="s">
        <v>355</v>
      </c>
      <c r="S8" s="830"/>
      <c r="T8" s="2069" t="s">
        <v>356</v>
      </c>
      <c r="U8" s="2069" t="s">
        <v>357</v>
      </c>
      <c r="V8" s="2069" t="s">
        <v>358</v>
      </c>
      <c r="W8" s="832"/>
      <c r="X8" s="2069" t="s">
        <v>359</v>
      </c>
      <c r="Y8" s="2069" t="s">
        <v>360</v>
      </c>
      <c r="Z8" s="2069" t="s">
        <v>361</v>
      </c>
      <c r="AA8" s="832"/>
      <c r="AB8" s="2069" t="s">
        <v>362</v>
      </c>
      <c r="AC8" s="2069" t="s">
        <v>355</v>
      </c>
      <c r="AD8" s="832"/>
      <c r="AE8" s="2067"/>
      <c r="AF8" s="2067"/>
      <c r="AG8" s="2067"/>
      <c r="AH8" s="2067"/>
    </row>
    <row customHeight="1" ht="43.5">
      <c r="C9" s="456"/>
      <c r="D9" s="1971"/>
      <c r="E9" s="2067"/>
      <c r="F9" s="2067"/>
      <c r="G9" s="835"/>
      <c r="H9" s="2074"/>
      <c r="I9" s="2076"/>
      <c r="J9" s="431" t="s">
        <v>363</v>
      </c>
      <c r="K9" s="431" t="s">
        <v>364</v>
      </c>
      <c r="L9" s="431" t="s">
        <v>365</v>
      </c>
      <c r="M9" s="437" t="s">
        <v>366</v>
      </c>
      <c r="N9" s="431" t="s">
        <v>367</v>
      </c>
      <c r="O9" s="431" t="s">
        <v>366</v>
      </c>
      <c r="P9" s="431" t="s">
        <v>368</v>
      </c>
      <c r="Q9" s="431" t="s">
        <v>366</v>
      </c>
      <c r="R9" s="2072"/>
      <c r="S9" s="831"/>
      <c r="T9" s="2070"/>
      <c r="U9" s="2070"/>
      <c r="V9" s="2070"/>
      <c r="W9" s="833"/>
      <c r="X9" s="2070"/>
      <c r="Y9" s="2070"/>
      <c r="Z9" s="2070"/>
      <c r="AA9" s="833"/>
      <c r="AB9" s="2070"/>
      <c r="AC9" s="2070"/>
      <c r="AD9" s="833"/>
      <c r="AE9" s="2067"/>
      <c r="AF9" s="2067"/>
      <c r="AG9" s="2067"/>
      <c r="AH9" s="2067"/>
    </row>
    <row customHeight="1" ht="12" hidden="1">
      <c r="C10" s="493"/>
      <c r="D10" s="454"/>
      <c r="E10" s="454"/>
      <c r="F10" s="454"/>
      <c r="G10" s="454"/>
      <c r="H10" s="454"/>
      <c r="I10" s="454"/>
      <c r="J10" s="454"/>
      <c r="K10" s="454"/>
      <c r="L10" s="454"/>
      <c r="M10" s="454"/>
      <c r="N10" s="454"/>
      <c r="O10" s="454"/>
      <c r="P10" s="454"/>
      <c r="Q10" s="454"/>
      <c r="R10" s="454"/>
      <c r="S10" s="454"/>
      <c r="T10" s="454"/>
      <c r="U10" s="454"/>
      <c r="V10" s="454"/>
      <c r="W10" s="454"/>
      <c r="X10" s="454"/>
      <c r="Y10" s="454"/>
      <c r="Z10" s="454"/>
      <c r="AA10" s="454"/>
      <c r="AB10" s="454"/>
      <c r="AC10" s="454"/>
      <c r="AD10" s="454"/>
      <c r="AE10" s="454"/>
      <c r="AF10" s="454"/>
      <c r="AG10" s="454"/>
      <c r="AH10" s="454"/>
      <c r="AI10" s="453"/>
      <c r="AP10" s="506"/>
      <c r="AQ10" s="506"/>
    </row>
    <row s="2611" customFormat="1" customHeight="1" ht="11.25" hidden="1">
      <c r="C11" s="504"/>
      <c r="D11" s="505" t="s">
        <v>369</v>
      </c>
      <c r="E11" s="505"/>
      <c r="F11" s="505"/>
      <c r="G11" s="505"/>
      <c r="H11" s="503"/>
      <c r="I11" s="503"/>
      <c r="J11" s="503"/>
      <c r="K11" s="503"/>
      <c r="L11" s="503"/>
      <c r="M11" s="503"/>
      <c r="N11" s="503"/>
      <c r="O11" s="503"/>
      <c r="P11" s="503"/>
      <c r="Q11" s="503"/>
      <c r="R11" s="503"/>
      <c r="S11" s="503"/>
      <c r="T11" s="503"/>
      <c r="U11" s="503"/>
      <c r="V11" s="503"/>
      <c r="W11" s="503"/>
      <c r="X11" s="503"/>
      <c r="Y11" s="503"/>
      <c r="Z11" s="503"/>
      <c r="AA11" s="503"/>
      <c r="AB11" s="503"/>
      <c r="AC11" s="503"/>
      <c r="AD11" s="503"/>
      <c r="AE11" s="441"/>
      <c r="AF11" s="441"/>
      <c r="AG11" s="441"/>
      <c r="AH11" s="441"/>
      <c r="AJ11" s="495"/>
      <c r="AK11" s="495"/>
      <c r="AL11" s="495"/>
      <c r="AM11" s="495"/>
      <c r="AN11" s="495"/>
      <c r="AO11" s="495"/>
      <c r="AP11" s="495"/>
      <c r="AQ11" s="495"/>
      <c r="AR11" s="495"/>
      <c r="AS11" s="495"/>
    </row>
    <row customHeight="1" ht="14.25">
      <c r="A12" s="453"/>
      <c r="C12" s="456"/>
      <c r="D12" s="440" t="s">
        <v>108</v>
      </c>
      <c r="E12" s="1818" t="s">
        <v>24</v>
      </c>
      <c r="F12" s="861"/>
      <c r="G12" s="862"/>
      <c r="H12" s="1819"/>
      <c r="I12" s="1819"/>
      <c r="J12" s="439"/>
      <c r="K12" s="1906"/>
      <c r="L12" s="438"/>
      <c r="M12" s="1906"/>
      <c r="N12" s="439"/>
      <c r="O12" s="1906"/>
      <c r="P12" s="439"/>
      <c r="Q12" s="1906"/>
      <c r="R12" s="439"/>
      <c r="S12" s="860"/>
      <c r="T12" s="1819"/>
      <c r="U12" s="439"/>
      <c r="V12" s="439"/>
      <c r="W12" s="833"/>
      <c r="X12" s="1819"/>
      <c r="Y12" s="439"/>
      <c r="Z12" s="439"/>
      <c r="AA12" s="833"/>
      <c r="AB12" s="1819"/>
      <c r="AC12" s="439"/>
      <c r="AD12" s="833"/>
      <c r="AE12" s="2077" t="s">
        <v>370</v>
      </c>
      <c r="AF12" s="2077" t="s">
        <v>371</v>
      </c>
      <c r="AG12" s="2077" t="s">
        <v>372</v>
      </c>
      <c r="AH12" s="2077" t="s">
        <v>373</v>
      </c>
      <c r="AI12" s="453"/>
      <c r="AM12" s="517"/>
      <c r="AP12" s="506" t="s">
        <v>374</v>
      </c>
      <c r="AQ12" s="506" t="s">
        <v>374</v>
      </c>
    </row>
    <row customHeight="1" ht="17.25">
      <c r="A13" s="453"/>
      <c r="C13" s="456"/>
      <c r="D13" s="411"/>
      <c r="E13" s="875" t="str">
        <f>IF(TITLE_DIFFERENTIATION_TYPE="нет","","Добавить систему")</f>
        <v/>
      </c>
      <c r="F13" s="875" t="str">
        <f>IF(TITLE_DIFFERENTIATION_TYPE="нет","Добавить вид деятельности","")</f>
        <v>Добавить вид деятельности</v>
      </c>
      <c r="G13" s="303"/>
      <c r="H13" s="412"/>
      <c r="I13" s="412"/>
      <c r="J13" s="412"/>
      <c r="K13" s="412"/>
      <c r="L13" s="412"/>
      <c r="M13" s="412"/>
      <c r="N13" s="412"/>
      <c r="O13" s="412"/>
      <c r="P13" s="412"/>
      <c r="Q13" s="412"/>
      <c r="R13" s="412"/>
      <c r="S13" s="412"/>
      <c r="T13" s="412"/>
      <c r="U13" s="412"/>
      <c r="V13" s="412"/>
      <c r="W13" s="412"/>
      <c r="X13" s="412"/>
      <c r="Y13" s="412"/>
      <c r="Z13" s="412"/>
      <c r="AA13" s="412"/>
      <c r="AB13" s="412"/>
      <c r="AC13" s="412"/>
      <c r="AD13" s="863"/>
      <c r="AE13" s="2078"/>
      <c r="AF13" s="2078"/>
      <c r="AG13" s="2078"/>
      <c r="AH13" s="2078"/>
      <c r="AI13" s="453"/>
    </row>
    <row customHeight="1" ht="14.25">
      <c r="AI14" s="453"/>
    </row>
    <row customHeight="1" ht="14.25">
      <c r="E15" s="764"/>
      <c r="L15" s="764"/>
    </row>
    <row customHeight="1" ht="14.25">
      <c r="L16" s="764"/>
    </row>
    <row customHeight="1" ht="14.25">
      <c r="L17" s="764"/>
    </row>
  </sheetData>
  <sheetProtection formatColumns="0" formatRows="0" autoFilter="0" sort="0" insertRows="0" insertColumns="1" deleteRows="0" deleteColumns="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E32C58-7432-AE92-6C99-AF2EFA29D575}" mc:Ignorable="x14ac xr xr2 xr3">
  <sheetPr>
    <tabColor rgb="FFFFCC99"/>
  </sheetPr>
  <dimension ref="A1:G464"/>
  <sheetViews>
    <sheetView topLeftCell="A1" showGridLines="0" workbookViewId="0">
      <selection activeCell="A1" sqref="A1"/>
    </sheetView>
  </sheetViews>
  <sheetFormatPr customHeight="1" defaultRowHeight="11.25"/>
  <sheetData>
    <row customHeight="1" ht="11.25">
      <c r="A1" s="373" t="s">
        <v>3197</v>
      </c>
      <c r="B1" s="373" t="s">
        <v>3198</v>
      </c>
      <c r="C1" s="373" t="s">
        <v>3199</v>
      </c>
      <c r="D1" s="373" t="s">
        <v>3200</v>
      </c>
      <c r="E1" s="0" t="s">
        <v>3201</v>
      </c>
      <c r="F1" s="0" t="s">
        <v>3202</v>
      </c>
      <c r="G1" s="0" t="s">
        <v>3203</v>
      </c>
    </row>
    <row customHeight="1" ht="11.25">
      <c r="A2" s="0" t="s">
        <v>14</v>
      </c>
      <c r="B2" s="0" t="s">
        <v>3204</v>
      </c>
      <c r="C2" s="0" t="s">
        <v>3205</v>
      </c>
      <c r="D2" s="0" t="s">
        <v>3204</v>
      </c>
      <c r="E2" s="0" t="s">
        <v>3205</v>
      </c>
      <c r="F2" s="0" t="s">
        <v>3206</v>
      </c>
      <c r="G2" s="0" t="s">
        <v>108</v>
      </c>
    </row>
    <row customHeight="1" ht="11.25">
      <c r="A3" s="0" t="s">
        <v>14</v>
      </c>
      <c r="B3" s="0" t="s">
        <v>3204</v>
      </c>
      <c r="C3" s="0" t="s">
        <v>3205</v>
      </c>
      <c r="D3" s="0" t="s">
        <v>3207</v>
      </c>
      <c r="E3" s="0" t="s">
        <v>3208</v>
      </c>
      <c r="F3" s="0" t="s">
        <v>3209</v>
      </c>
      <c r="G3" s="0" t="s">
        <v>109</v>
      </c>
    </row>
    <row customHeight="1" ht="11.25">
      <c r="A4" s="0" t="s">
        <v>14</v>
      </c>
      <c r="B4" s="0" t="s">
        <v>3204</v>
      </c>
      <c r="C4" s="0" t="s">
        <v>3205</v>
      </c>
      <c r="D4" s="0" t="s">
        <v>3210</v>
      </c>
      <c r="E4" s="0" t="s">
        <v>3211</v>
      </c>
      <c r="F4" s="0" t="s">
        <v>3209</v>
      </c>
      <c r="G4" s="0" t="s">
        <v>89</v>
      </c>
    </row>
    <row customHeight="1" ht="11.25">
      <c r="A5" s="0" t="s">
        <v>14</v>
      </c>
      <c r="B5" s="0" t="s">
        <v>3204</v>
      </c>
      <c r="C5" s="0" t="s">
        <v>3205</v>
      </c>
      <c r="D5" s="0" t="s">
        <v>3212</v>
      </c>
      <c r="E5" s="0" t="s">
        <v>3213</v>
      </c>
      <c r="F5" s="0" t="s">
        <v>3209</v>
      </c>
      <c r="G5" s="0" t="s">
        <v>90</v>
      </c>
    </row>
    <row customHeight="1" ht="11.25">
      <c r="A6" s="0" t="s">
        <v>14</v>
      </c>
      <c r="B6" s="0" t="s">
        <v>3204</v>
      </c>
      <c r="C6" s="0" t="s">
        <v>3205</v>
      </c>
      <c r="D6" s="0" t="s">
        <v>3214</v>
      </c>
      <c r="E6" s="0" t="s">
        <v>3215</v>
      </c>
      <c r="F6" s="0" t="s">
        <v>3209</v>
      </c>
      <c r="G6" s="0" t="s">
        <v>110</v>
      </c>
    </row>
    <row customHeight="1" ht="11.25">
      <c r="A7" s="0" t="s">
        <v>14</v>
      </c>
      <c r="B7" s="0" t="s">
        <v>3204</v>
      </c>
      <c r="C7" s="0" t="s">
        <v>3205</v>
      </c>
      <c r="D7" s="0" t="s">
        <v>3216</v>
      </c>
      <c r="E7" s="0" t="s">
        <v>3217</v>
      </c>
      <c r="F7" s="0" t="s">
        <v>3209</v>
      </c>
      <c r="G7" s="0" t="s">
        <v>91</v>
      </c>
    </row>
    <row customHeight="1" ht="11.25">
      <c r="A8" s="0" t="s">
        <v>14</v>
      </c>
      <c r="B8" s="0" t="s">
        <v>3204</v>
      </c>
      <c r="C8" s="0" t="s">
        <v>3205</v>
      </c>
      <c r="D8" s="0" t="s">
        <v>3218</v>
      </c>
      <c r="E8" s="0" t="s">
        <v>3219</v>
      </c>
      <c r="F8" s="0" t="s">
        <v>3209</v>
      </c>
      <c r="G8" s="0" t="s">
        <v>92</v>
      </c>
    </row>
    <row customHeight="1" ht="11.25">
      <c r="A9" s="0" t="s">
        <v>14</v>
      </c>
      <c r="B9" s="0" t="s">
        <v>3204</v>
      </c>
      <c r="C9" s="0" t="s">
        <v>3205</v>
      </c>
      <c r="D9" s="0" t="s">
        <v>3220</v>
      </c>
      <c r="E9" s="0" t="s">
        <v>3221</v>
      </c>
      <c r="F9" s="0" t="s">
        <v>3209</v>
      </c>
      <c r="G9" s="0" t="s">
        <v>111</v>
      </c>
    </row>
    <row customHeight="1" ht="11.25">
      <c r="A10" s="0" t="s">
        <v>14</v>
      </c>
      <c r="B10" s="0" t="s">
        <v>3204</v>
      </c>
      <c r="C10" s="0" t="s">
        <v>3205</v>
      </c>
      <c r="D10" s="0" t="s">
        <v>3222</v>
      </c>
      <c r="E10" s="0" t="s">
        <v>3223</v>
      </c>
      <c r="F10" s="0" t="s">
        <v>3209</v>
      </c>
      <c r="G10" s="0" t="s">
        <v>147</v>
      </c>
    </row>
    <row customHeight="1" ht="11.25">
      <c r="A11" s="0" t="s">
        <v>14</v>
      </c>
      <c r="B11" s="0" t="s">
        <v>3204</v>
      </c>
      <c r="C11" s="0" t="s">
        <v>3205</v>
      </c>
      <c r="D11" s="0" t="s">
        <v>3224</v>
      </c>
      <c r="E11" s="0" t="s">
        <v>3225</v>
      </c>
      <c r="F11" s="0" t="s">
        <v>3209</v>
      </c>
      <c r="G11" s="0" t="s">
        <v>148</v>
      </c>
    </row>
    <row customHeight="1" ht="11.25">
      <c r="A12" s="0" t="s">
        <v>14</v>
      </c>
      <c r="B12" s="0" t="s">
        <v>3204</v>
      </c>
      <c r="C12" s="0" t="s">
        <v>3205</v>
      </c>
      <c r="D12" s="0" t="s">
        <v>3226</v>
      </c>
      <c r="E12" s="0" t="s">
        <v>3227</v>
      </c>
      <c r="F12" s="0" t="s">
        <v>3209</v>
      </c>
      <c r="G12" s="0" t="s">
        <v>149</v>
      </c>
    </row>
    <row customHeight="1" ht="11.25">
      <c r="A13" s="0" t="s">
        <v>14</v>
      </c>
      <c r="B13" s="0" t="s">
        <v>3204</v>
      </c>
      <c r="C13" s="0" t="s">
        <v>3205</v>
      </c>
      <c r="D13" s="0" t="s">
        <v>3228</v>
      </c>
      <c r="E13" s="0" t="s">
        <v>3229</v>
      </c>
      <c r="F13" s="0" t="s">
        <v>3209</v>
      </c>
      <c r="G13" s="0" t="s">
        <v>150</v>
      </c>
    </row>
    <row customHeight="1" ht="11.25">
      <c r="A14" s="0" t="s">
        <v>14</v>
      </c>
      <c r="B14" s="0" t="s">
        <v>3204</v>
      </c>
      <c r="C14" s="0" t="s">
        <v>3205</v>
      </c>
      <c r="D14" s="0" t="s">
        <v>3230</v>
      </c>
      <c r="E14" s="0" t="s">
        <v>3231</v>
      </c>
      <c r="F14" s="0" t="s">
        <v>3209</v>
      </c>
      <c r="G14" s="0" t="s">
        <v>151</v>
      </c>
    </row>
    <row customHeight="1" ht="11.25">
      <c r="A15" s="0" t="s">
        <v>14</v>
      </c>
      <c r="B15" s="0" t="s">
        <v>3204</v>
      </c>
      <c r="C15" s="0" t="s">
        <v>3205</v>
      </c>
      <c r="D15" s="0" t="s">
        <v>3232</v>
      </c>
      <c r="E15" s="0" t="s">
        <v>3233</v>
      </c>
      <c r="F15" s="0" t="s">
        <v>3209</v>
      </c>
      <c r="G15" s="0" t="s">
        <v>152</v>
      </c>
    </row>
    <row customHeight="1" ht="11.25">
      <c r="A16" s="0" t="s">
        <v>14</v>
      </c>
      <c r="B16" s="0" t="s">
        <v>3204</v>
      </c>
      <c r="C16" s="0" t="s">
        <v>3205</v>
      </c>
      <c r="D16" s="0" t="s">
        <v>3234</v>
      </c>
      <c r="E16" s="0" t="s">
        <v>3235</v>
      </c>
      <c r="F16" s="0" t="s">
        <v>3209</v>
      </c>
      <c r="G16" s="0" t="s">
        <v>1468</v>
      </c>
    </row>
    <row customHeight="1" ht="11.25">
      <c r="A17" s="0" t="s">
        <v>14</v>
      </c>
      <c r="B17" s="0" t="s">
        <v>3204</v>
      </c>
      <c r="C17" s="0" t="s">
        <v>3205</v>
      </c>
      <c r="D17" s="0" t="s">
        <v>3236</v>
      </c>
      <c r="E17" s="0" t="s">
        <v>3237</v>
      </c>
      <c r="F17" s="0" t="s">
        <v>3209</v>
      </c>
      <c r="G17" s="0" t="s">
        <v>1474</v>
      </c>
    </row>
    <row customHeight="1" ht="11.25">
      <c r="A18" s="0" t="s">
        <v>14</v>
      </c>
      <c r="B18" s="0" t="s">
        <v>3204</v>
      </c>
      <c r="C18" s="0" t="s">
        <v>3205</v>
      </c>
      <c r="D18" s="0" t="s">
        <v>3238</v>
      </c>
      <c r="E18" s="0" t="s">
        <v>3239</v>
      </c>
      <c r="F18" s="0" t="s">
        <v>3209</v>
      </c>
      <c r="G18" s="0" t="s">
        <v>1485</v>
      </c>
    </row>
    <row customHeight="1" ht="11.25">
      <c r="A19" s="0" t="s">
        <v>14</v>
      </c>
      <c r="B19" s="0" t="s">
        <v>3204</v>
      </c>
      <c r="C19" s="0" t="s">
        <v>3205</v>
      </c>
      <c r="D19" s="0" t="s">
        <v>3240</v>
      </c>
      <c r="E19" s="0" t="s">
        <v>3241</v>
      </c>
      <c r="F19" s="0" t="s">
        <v>3209</v>
      </c>
      <c r="G19" s="0" t="s">
        <v>1499</v>
      </c>
    </row>
    <row customHeight="1" ht="11.25">
      <c r="A20" s="0" t="s">
        <v>14</v>
      </c>
      <c r="B20" s="0" t="s">
        <v>3204</v>
      </c>
      <c r="C20" s="0" t="s">
        <v>3205</v>
      </c>
      <c r="D20" s="0" t="s">
        <v>3242</v>
      </c>
      <c r="E20" s="0" t="s">
        <v>3243</v>
      </c>
      <c r="F20" s="0" t="s">
        <v>3209</v>
      </c>
      <c r="G20" s="0" t="s">
        <v>1511</v>
      </c>
    </row>
    <row customHeight="1" ht="11.25">
      <c r="A21" s="0" t="s">
        <v>14</v>
      </c>
      <c r="B21" s="0" t="s">
        <v>3244</v>
      </c>
      <c r="C21" s="0" t="s">
        <v>3245</v>
      </c>
      <c r="D21" s="0" t="s">
        <v>3244</v>
      </c>
      <c r="E21" s="0" t="s">
        <v>3245</v>
      </c>
      <c r="F21" s="0" t="s">
        <v>3206</v>
      </c>
      <c r="G21" s="0" t="s">
        <v>1520</v>
      </c>
    </row>
    <row customHeight="1" ht="11.25">
      <c r="A22" s="0" t="s">
        <v>14</v>
      </c>
      <c r="B22" s="0" t="s">
        <v>3244</v>
      </c>
      <c r="C22" s="0" t="s">
        <v>3245</v>
      </c>
      <c r="D22" s="0" t="s">
        <v>3246</v>
      </c>
      <c r="E22" s="0" t="s">
        <v>3247</v>
      </c>
      <c r="F22" s="0" t="s">
        <v>3248</v>
      </c>
      <c r="G22" s="0" t="s">
        <v>1536</v>
      </c>
    </row>
    <row customHeight="1" ht="11.25">
      <c r="A23" s="0" t="s">
        <v>14</v>
      </c>
      <c r="B23" s="0" t="s">
        <v>3244</v>
      </c>
      <c r="C23" s="0" t="s">
        <v>3245</v>
      </c>
      <c r="D23" s="0" t="s">
        <v>3249</v>
      </c>
      <c r="E23" s="0" t="s">
        <v>3250</v>
      </c>
      <c r="F23" s="0" t="s">
        <v>3209</v>
      </c>
      <c r="G23" s="0" t="s">
        <v>1543</v>
      </c>
    </row>
    <row customHeight="1" ht="11.25">
      <c r="A24" s="0" t="s">
        <v>14</v>
      </c>
      <c r="B24" s="0" t="s">
        <v>3244</v>
      </c>
      <c r="C24" s="0" t="s">
        <v>3245</v>
      </c>
      <c r="D24" s="0" t="s">
        <v>3251</v>
      </c>
      <c r="E24" s="0" t="s">
        <v>3252</v>
      </c>
      <c r="F24" s="0" t="s">
        <v>3209</v>
      </c>
      <c r="G24" s="0" t="s">
        <v>1551</v>
      </c>
    </row>
    <row customHeight="1" ht="11.25">
      <c r="A25" s="0" t="s">
        <v>14</v>
      </c>
      <c r="B25" s="0" t="s">
        <v>3244</v>
      </c>
      <c r="C25" s="0" t="s">
        <v>3245</v>
      </c>
      <c r="D25" s="0" t="s">
        <v>3253</v>
      </c>
      <c r="E25" s="0" t="s">
        <v>3254</v>
      </c>
      <c r="F25" s="0" t="s">
        <v>3209</v>
      </c>
      <c r="G25" s="0" t="s">
        <v>1558</v>
      </c>
    </row>
    <row customHeight="1" ht="11.25">
      <c r="A26" s="0" t="s">
        <v>14</v>
      </c>
      <c r="B26" s="0" t="s">
        <v>3244</v>
      </c>
      <c r="C26" s="0" t="s">
        <v>3245</v>
      </c>
      <c r="D26" s="0" t="s">
        <v>3255</v>
      </c>
      <c r="E26" s="0" t="s">
        <v>3256</v>
      </c>
      <c r="F26" s="0" t="s">
        <v>3209</v>
      </c>
      <c r="G26" s="0" t="s">
        <v>1562</v>
      </c>
    </row>
    <row customHeight="1" ht="11.25">
      <c r="A27" s="0" t="s">
        <v>14</v>
      </c>
      <c r="B27" s="0" t="s">
        <v>3244</v>
      </c>
      <c r="C27" s="0" t="s">
        <v>3245</v>
      </c>
      <c r="D27" s="0" t="s">
        <v>3257</v>
      </c>
      <c r="E27" s="0" t="s">
        <v>3258</v>
      </c>
      <c r="F27" s="0" t="s">
        <v>3209</v>
      </c>
      <c r="G27" s="0" t="s">
        <v>1567</v>
      </c>
    </row>
    <row customHeight="1" ht="11.25">
      <c r="A28" s="0" t="s">
        <v>14</v>
      </c>
      <c r="B28" s="0" t="s">
        <v>3244</v>
      </c>
      <c r="C28" s="0" t="s">
        <v>3245</v>
      </c>
      <c r="D28" s="0" t="s">
        <v>3259</v>
      </c>
      <c r="E28" s="0" t="s">
        <v>3260</v>
      </c>
      <c r="F28" s="0" t="s">
        <v>3209</v>
      </c>
      <c r="G28" s="0" t="s">
        <v>1575</v>
      </c>
    </row>
    <row customHeight="1" ht="11.25">
      <c r="A29" s="0" t="s">
        <v>14</v>
      </c>
      <c r="B29" s="0" t="s">
        <v>3244</v>
      </c>
      <c r="C29" s="0" t="s">
        <v>3245</v>
      </c>
      <c r="D29" s="0" t="s">
        <v>3261</v>
      </c>
      <c r="E29" s="0" t="s">
        <v>3262</v>
      </c>
      <c r="F29" s="0" t="s">
        <v>3209</v>
      </c>
      <c r="G29" s="0" t="s">
        <v>1577</v>
      </c>
    </row>
    <row customHeight="1" ht="11.25">
      <c r="A30" s="0" t="s">
        <v>14</v>
      </c>
      <c r="B30" s="0" t="s">
        <v>3244</v>
      </c>
      <c r="C30" s="0" t="s">
        <v>3245</v>
      </c>
      <c r="D30" s="0" t="s">
        <v>3263</v>
      </c>
      <c r="E30" s="0" t="s">
        <v>3264</v>
      </c>
      <c r="F30" s="0" t="s">
        <v>3209</v>
      </c>
      <c r="G30" s="0" t="s">
        <v>1580</v>
      </c>
    </row>
    <row customHeight="1" ht="11.25">
      <c r="A31" s="0" t="s">
        <v>14</v>
      </c>
      <c r="B31" s="0" t="s">
        <v>3244</v>
      </c>
      <c r="C31" s="0" t="s">
        <v>3245</v>
      </c>
      <c r="D31" s="0" t="s">
        <v>3265</v>
      </c>
      <c r="E31" s="0" t="s">
        <v>3266</v>
      </c>
      <c r="F31" s="0" t="s">
        <v>3209</v>
      </c>
      <c r="G31" s="0" t="s">
        <v>1585</v>
      </c>
    </row>
    <row customHeight="1" ht="11.25">
      <c r="A32" s="0" t="s">
        <v>14</v>
      </c>
      <c r="B32" s="0" t="s">
        <v>3244</v>
      </c>
      <c r="C32" s="0" t="s">
        <v>3245</v>
      </c>
      <c r="D32" s="0" t="s">
        <v>3267</v>
      </c>
      <c r="E32" s="0" t="s">
        <v>3268</v>
      </c>
      <c r="F32" s="0" t="s">
        <v>3209</v>
      </c>
      <c r="G32" s="0" t="s">
        <v>1587</v>
      </c>
    </row>
    <row customHeight="1" ht="11.25">
      <c r="A33" s="0" t="s">
        <v>14</v>
      </c>
      <c r="B33" s="0" t="s">
        <v>3269</v>
      </c>
      <c r="C33" s="0" t="s">
        <v>3270</v>
      </c>
      <c r="D33" s="0" t="s">
        <v>3271</v>
      </c>
      <c r="E33" s="0" t="s">
        <v>3272</v>
      </c>
      <c r="F33" s="0" t="s">
        <v>3209</v>
      </c>
      <c r="G33" s="0" t="s">
        <v>1589</v>
      </c>
    </row>
    <row customHeight="1" ht="11.25">
      <c r="A34" s="0" t="s">
        <v>14</v>
      </c>
      <c r="B34" s="0" t="s">
        <v>3269</v>
      </c>
      <c r="C34" s="0" t="s">
        <v>3270</v>
      </c>
      <c r="D34" s="0" t="s">
        <v>3269</v>
      </c>
      <c r="E34" s="0" t="s">
        <v>3270</v>
      </c>
      <c r="F34" s="0" t="s">
        <v>3206</v>
      </c>
      <c r="G34" s="0" t="s">
        <v>1591</v>
      </c>
    </row>
    <row customHeight="1" ht="11.25">
      <c r="A35" s="0" t="s">
        <v>14</v>
      </c>
      <c r="B35" s="0" t="s">
        <v>3269</v>
      </c>
      <c r="C35" s="0" t="s">
        <v>3270</v>
      </c>
      <c r="D35" s="0" t="s">
        <v>3273</v>
      </c>
      <c r="E35" s="0" t="s">
        <v>3274</v>
      </c>
      <c r="F35" s="0" t="s">
        <v>3209</v>
      </c>
      <c r="G35" s="0" t="s">
        <v>1596</v>
      </c>
    </row>
    <row customHeight="1" ht="11.25">
      <c r="A36" s="0" t="s">
        <v>14</v>
      </c>
      <c r="B36" s="0" t="s">
        <v>3269</v>
      </c>
      <c r="C36" s="0" t="s">
        <v>3270</v>
      </c>
      <c r="D36" s="0" t="s">
        <v>3275</v>
      </c>
      <c r="E36" s="0" t="s">
        <v>3276</v>
      </c>
      <c r="F36" s="0" t="s">
        <v>3209</v>
      </c>
      <c r="G36" s="0" t="s">
        <v>1601</v>
      </c>
    </row>
    <row customHeight="1" ht="11.25">
      <c r="A37" s="0" t="s">
        <v>14</v>
      </c>
      <c r="B37" s="0" t="s">
        <v>3269</v>
      </c>
      <c r="C37" s="0" t="s">
        <v>3270</v>
      </c>
      <c r="D37" s="0" t="s">
        <v>3277</v>
      </c>
      <c r="E37" s="0" t="s">
        <v>3278</v>
      </c>
      <c r="F37" s="0" t="s">
        <v>3209</v>
      </c>
      <c r="G37" s="0" t="s">
        <v>1605</v>
      </c>
    </row>
    <row customHeight="1" ht="11.25">
      <c r="A38" s="0" t="s">
        <v>14</v>
      </c>
      <c r="B38" s="0" t="s">
        <v>3269</v>
      </c>
      <c r="C38" s="0" t="s">
        <v>3270</v>
      </c>
      <c r="D38" s="0" t="s">
        <v>3279</v>
      </c>
      <c r="E38" s="0" t="s">
        <v>3280</v>
      </c>
      <c r="F38" s="0" t="s">
        <v>3209</v>
      </c>
      <c r="G38" s="0" t="s">
        <v>1613</v>
      </c>
    </row>
    <row customHeight="1" ht="11.25">
      <c r="A39" s="0" t="s">
        <v>14</v>
      </c>
      <c r="B39" s="0" t="s">
        <v>3281</v>
      </c>
      <c r="C39" s="0" t="s">
        <v>3282</v>
      </c>
      <c r="D39" s="0" t="s">
        <v>3281</v>
      </c>
      <c r="E39" s="0" t="s">
        <v>3282</v>
      </c>
      <c r="F39" s="0" t="s">
        <v>3206</v>
      </c>
      <c r="G39" s="0" t="s">
        <v>1619</v>
      </c>
    </row>
    <row customHeight="1" ht="11.25">
      <c r="A40" s="0" t="s">
        <v>14</v>
      </c>
      <c r="B40" s="0" t="s">
        <v>3281</v>
      </c>
      <c r="C40" s="0" t="s">
        <v>3282</v>
      </c>
      <c r="D40" s="0" t="s">
        <v>3283</v>
      </c>
      <c r="E40" s="0" t="s">
        <v>3284</v>
      </c>
      <c r="F40" s="0" t="s">
        <v>3248</v>
      </c>
      <c r="G40" s="0" t="s">
        <v>1624</v>
      </c>
    </row>
    <row customHeight="1" ht="11.25">
      <c r="A41" s="0" t="s">
        <v>14</v>
      </c>
      <c r="B41" s="0" t="s">
        <v>3281</v>
      </c>
      <c r="C41" s="0" t="s">
        <v>3282</v>
      </c>
      <c r="D41" s="0" t="s">
        <v>3285</v>
      </c>
      <c r="E41" s="0" t="s">
        <v>3286</v>
      </c>
      <c r="F41" s="0" t="s">
        <v>3209</v>
      </c>
      <c r="G41" s="0" t="s">
        <v>1628</v>
      </c>
    </row>
    <row customHeight="1" ht="11.25">
      <c r="A42" s="0" t="s">
        <v>14</v>
      </c>
      <c r="B42" s="0" t="s">
        <v>3281</v>
      </c>
      <c r="C42" s="0" t="s">
        <v>3282</v>
      </c>
      <c r="D42" s="0" t="s">
        <v>3287</v>
      </c>
      <c r="E42" s="0" t="s">
        <v>3288</v>
      </c>
      <c r="F42" s="0" t="s">
        <v>3209</v>
      </c>
      <c r="G42" s="0" t="s">
        <v>1631</v>
      </c>
    </row>
    <row customHeight="1" ht="11.25">
      <c r="A43" s="0" t="s">
        <v>14</v>
      </c>
      <c r="B43" s="0" t="s">
        <v>3281</v>
      </c>
      <c r="C43" s="0" t="s">
        <v>3282</v>
      </c>
      <c r="D43" s="0" t="s">
        <v>3289</v>
      </c>
      <c r="E43" s="0" t="s">
        <v>3290</v>
      </c>
      <c r="F43" s="0" t="s">
        <v>3209</v>
      </c>
      <c r="G43" s="0" t="s">
        <v>1638</v>
      </c>
    </row>
    <row customHeight="1" ht="11.25">
      <c r="A44" s="0" t="s">
        <v>14</v>
      </c>
      <c r="B44" s="0" t="s">
        <v>3281</v>
      </c>
      <c r="C44" s="0" t="s">
        <v>3282</v>
      </c>
      <c r="D44" s="0" t="s">
        <v>3291</v>
      </c>
      <c r="E44" s="0" t="s">
        <v>3292</v>
      </c>
      <c r="F44" s="0" t="s">
        <v>3209</v>
      </c>
      <c r="G44" s="0" t="s">
        <v>1647</v>
      </c>
    </row>
    <row customHeight="1" ht="11.25">
      <c r="A45" s="0" t="s">
        <v>14</v>
      </c>
      <c r="B45" s="0" t="s">
        <v>3281</v>
      </c>
      <c r="C45" s="0" t="s">
        <v>3282</v>
      </c>
      <c r="D45" s="0" t="s">
        <v>3293</v>
      </c>
      <c r="E45" s="0" t="s">
        <v>3294</v>
      </c>
      <c r="F45" s="0" t="s">
        <v>3209</v>
      </c>
      <c r="G45" s="0" t="s">
        <v>1652</v>
      </c>
    </row>
    <row customHeight="1" ht="11.25">
      <c r="A46" s="0" t="s">
        <v>14</v>
      </c>
      <c r="B46" s="0" t="s">
        <v>3281</v>
      </c>
      <c r="C46" s="0" t="s">
        <v>3282</v>
      </c>
      <c r="D46" s="0" t="s">
        <v>3295</v>
      </c>
      <c r="E46" s="0" t="s">
        <v>3296</v>
      </c>
      <c r="F46" s="0" t="s">
        <v>3209</v>
      </c>
      <c r="G46" s="0" t="s">
        <v>1656</v>
      </c>
    </row>
    <row customHeight="1" ht="11.25">
      <c r="A47" s="0" t="s">
        <v>14</v>
      </c>
      <c r="B47" s="0" t="s">
        <v>3281</v>
      </c>
      <c r="C47" s="0" t="s">
        <v>3282</v>
      </c>
      <c r="D47" s="0" t="s">
        <v>3297</v>
      </c>
      <c r="E47" s="0" t="s">
        <v>3298</v>
      </c>
      <c r="F47" s="0" t="s">
        <v>3209</v>
      </c>
      <c r="G47" s="0" t="s">
        <v>1662</v>
      </c>
    </row>
    <row customHeight="1" ht="11.25">
      <c r="A48" s="0" t="s">
        <v>14</v>
      </c>
      <c r="B48" s="0" t="s">
        <v>3281</v>
      </c>
      <c r="C48" s="0" t="s">
        <v>3282</v>
      </c>
      <c r="D48" s="0" t="s">
        <v>3299</v>
      </c>
      <c r="E48" s="0" t="s">
        <v>3300</v>
      </c>
      <c r="F48" s="0" t="s">
        <v>3209</v>
      </c>
      <c r="G48" s="0" t="s">
        <v>1667</v>
      </c>
    </row>
    <row customHeight="1" ht="11.25">
      <c r="A49" s="0" t="s">
        <v>14</v>
      </c>
      <c r="B49" s="0" t="s">
        <v>3281</v>
      </c>
      <c r="C49" s="0" t="s">
        <v>3282</v>
      </c>
      <c r="D49" s="0" t="s">
        <v>3301</v>
      </c>
      <c r="E49" s="0" t="s">
        <v>3302</v>
      </c>
      <c r="F49" s="0" t="s">
        <v>3209</v>
      </c>
      <c r="G49" s="0" t="s">
        <v>1670</v>
      </c>
    </row>
    <row customHeight="1" ht="11.25">
      <c r="A50" s="0" t="s">
        <v>14</v>
      </c>
      <c r="B50" s="0" t="s">
        <v>3281</v>
      </c>
      <c r="C50" s="0" t="s">
        <v>3282</v>
      </c>
      <c r="D50" s="0" t="s">
        <v>3303</v>
      </c>
      <c r="E50" s="0" t="s">
        <v>3304</v>
      </c>
      <c r="F50" s="0" t="s">
        <v>3209</v>
      </c>
      <c r="G50" s="0" t="s">
        <v>1674</v>
      </c>
    </row>
    <row customHeight="1" ht="11.25">
      <c r="A51" s="0" t="s">
        <v>14</v>
      </c>
      <c r="B51" s="0" t="s">
        <v>3281</v>
      </c>
      <c r="C51" s="0" t="s">
        <v>3282</v>
      </c>
      <c r="D51" s="0" t="s">
        <v>3305</v>
      </c>
      <c r="E51" s="0" t="s">
        <v>3306</v>
      </c>
      <c r="F51" s="0" t="s">
        <v>3248</v>
      </c>
      <c r="G51" s="0" t="s">
        <v>1678</v>
      </c>
    </row>
    <row customHeight="1" ht="11.25">
      <c r="A52" s="0" t="s">
        <v>14</v>
      </c>
      <c r="B52" s="0" t="s">
        <v>3307</v>
      </c>
      <c r="C52" s="0" t="s">
        <v>3308</v>
      </c>
      <c r="D52" s="0" t="s">
        <v>3307</v>
      </c>
      <c r="E52" s="0" t="s">
        <v>3308</v>
      </c>
      <c r="F52" s="0" t="s">
        <v>3206</v>
      </c>
      <c r="G52" s="0" t="s">
        <v>1682</v>
      </c>
    </row>
    <row customHeight="1" ht="11.25">
      <c r="A53" s="0" t="s">
        <v>14</v>
      </c>
      <c r="B53" s="0" t="s">
        <v>3307</v>
      </c>
      <c r="C53" s="0" t="s">
        <v>3308</v>
      </c>
      <c r="D53" s="0" t="s">
        <v>3309</v>
      </c>
      <c r="E53" s="0" t="s">
        <v>3310</v>
      </c>
      <c r="F53" s="0" t="s">
        <v>3209</v>
      </c>
      <c r="G53" s="0" t="s">
        <v>1684</v>
      </c>
    </row>
    <row customHeight="1" ht="11.25">
      <c r="A54" s="0" t="s">
        <v>14</v>
      </c>
      <c r="B54" s="0" t="s">
        <v>3307</v>
      </c>
      <c r="C54" s="0" t="s">
        <v>3308</v>
      </c>
      <c r="D54" s="0" t="s">
        <v>3311</v>
      </c>
      <c r="E54" s="0" t="s">
        <v>3312</v>
      </c>
      <c r="F54" s="0" t="s">
        <v>3209</v>
      </c>
      <c r="G54" s="0" t="s">
        <v>1687</v>
      </c>
    </row>
    <row customHeight="1" ht="11.25">
      <c r="A55" s="0" t="s">
        <v>14</v>
      </c>
      <c r="B55" s="0" t="s">
        <v>3307</v>
      </c>
      <c r="C55" s="0" t="s">
        <v>3308</v>
      </c>
      <c r="D55" s="0" t="s">
        <v>3313</v>
      </c>
      <c r="E55" s="0" t="s">
        <v>3314</v>
      </c>
      <c r="F55" s="0" t="s">
        <v>3209</v>
      </c>
      <c r="G55" s="0" t="s">
        <v>1691</v>
      </c>
    </row>
    <row customHeight="1" ht="11.25">
      <c r="A56" s="0" t="s">
        <v>14</v>
      </c>
      <c r="B56" s="0" t="s">
        <v>3307</v>
      </c>
      <c r="C56" s="0" t="s">
        <v>3308</v>
      </c>
      <c r="D56" s="0" t="s">
        <v>3315</v>
      </c>
      <c r="E56" s="0" t="s">
        <v>3316</v>
      </c>
      <c r="F56" s="0" t="s">
        <v>3209</v>
      </c>
      <c r="G56" s="0" t="s">
        <v>1694</v>
      </c>
    </row>
    <row customHeight="1" ht="11.25">
      <c r="A57" s="0" t="s">
        <v>14</v>
      </c>
      <c r="B57" s="0" t="s">
        <v>3307</v>
      </c>
      <c r="C57" s="0" t="s">
        <v>3308</v>
      </c>
      <c r="D57" s="0" t="s">
        <v>3317</v>
      </c>
      <c r="E57" s="0" t="s">
        <v>3318</v>
      </c>
      <c r="F57" s="0" t="s">
        <v>3209</v>
      </c>
      <c r="G57" s="0" t="s">
        <v>1697</v>
      </c>
    </row>
    <row customHeight="1" ht="11.25">
      <c r="A58" s="0" t="s">
        <v>14</v>
      </c>
      <c r="B58" s="0" t="s">
        <v>3307</v>
      </c>
      <c r="C58" s="0" t="s">
        <v>3308</v>
      </c>
      <c r="D58" s="0" t="s">
        <v>3319</v>
      </c>
      <c r="E58" s="0" t="s">
        <v>3320</v>
      </c>
      <c r="F58" s="0" t="s">
        <v>3209</v>
      </c>
      <c r="G58" s="0" t="s">
        <v>1700</v>
      </c>
    </row>
    <row customHeight="1" ht="11.25">
      <c r="A59" s="0" t="s">
        <v>14</v>
      </c>
      <c r="B59" s="0" t="s">
        <v>3307</v>
      </c>
      <c r="C59" s="0" t="s">
        <v>3308</v>
      </c>
      <c r="D59" s="0" t="s">
        <v>3321</v>
      </c>
      <c r="E59" s="0" t="s">
        <v>3322</v>
      </c>
      <c r="F59" s="0" t="s">
        <v>3209</v>
      </c>
      <c r="G59" s="0" t="s">
        <v>1704</v>
      </c>
    </row>
    <row customHeight="1" ht="11.25">
      <c r="A60" s="0" t="s">
        <v>14</v>
      </c>
      <c r="B60" s="0" t="s">
        <v>3323</v>
      </c>
      <c r="C60" s="0" t="s">
        <v>3324</v>
      </c>
      <c r="D60" s="0" t="s">
        <v>3323</v>
      </c>
      <c r="E60" s="0" t="s">
        <v>3324</v>
      </c>
      <c r="F60" s="0" t="s">
        <v>3206</v>
      </c>
      <c r="G60" s="0" t="s">
        <v>1707</v>
      </c>
    </row>
    <row customHeight="1" ht="11.25">
      <c r="A61" s="0" t="s">
        <v>14</v>
      </c>
      <c r="B61" s="0" t="s">
        <v>3323</v>
      </c>
      <c r="C61" s="0" t="s">
        <v>3324</v>
      </c>
      <c r="D61" s="0" t="s">
        <v>3325</v>
      </c>
      <c r="E61" s="0" t="s">
        <v>3326</v>
      </c>
      <c r="F61" s="0" t="s">
        <v>3209</v>
      </c>
      <c r="G61" s="0" t="s">
        <v>3327</v>
      </c>
    </row>
    <row customHeight="1" ht="11.25">
      <c r="A62" s="0" t="s">
        <v>14</v>
      </c>
      <c r="B62" s="0" t="s">
        <v>3323</v>
      </c>
      <c r="C62" s="0" t="s">
        <v>3324</v>
      </c>
      <c r="D62" s="0" t="s">
        <v>3328</v>
      </c>
      <c r="E62" s="0" t="s">
        <v>3329</v>
      </c>
      <c r="F62" s="0" t="s">
        <v>3209</v>
      </c>
      <c r="G62" s="0" t="s">
        <v>3330</v>
      </c>
    </row>
    <row customHeight="1" ht="11.25">
      <c r="A63" s="0" t="s">
        <v>14</v>
      </c>
      <c r="B63" s="0" t="s">
        <v>3323</v>
      </c>
      <c r="C63" s="0" t="s">
        <v>3324</v>
      </c>
      <c r="D63" s="0" t="s">
        <v>3331</v>
      </c>
      <c r="E63" s="0" t="s">
        <v>3332</v>
      </c>
      <c r="F63" s="0" t="s">
        <v>3209</v>
      </c>
      <c r="G63" s="0" t="s">
        <v>3333</v>
      </c>
    </row>
    <row customHeight="1" ht="11.25">
      <c r="A64" s="0" t="s">
        <v>14</v>
      </c>
      <c r="B64" s="0" t="s">
        <v>3323</v>
      </c>
      <c r="C64" s="0" t="s">
        <v>3324</v>
      </c>
      <c r="D64" s="0" t="s">
        <v>3334</v>
      </c>
      <c r="E64" s="0" t="s">
        <v>3335</v>
      </c>
      <c r="F64" s="0" t="s">
        <v>3209</v>
      </c>
      <c r="G64" s="0" t="s">
        <v>3336</v>
      </c>
    </row>
    <row customHeight="1" ht="11.25">
      <c r="A65" s="0" t="s">
        <v>14</v>
      </c>
      <c r="B65" s="0" t="s">
        <v>3323</v>
      </c>
      <c r="C65" s="0" t="s">
        <v>3324</v>
      </c>
      <c r="D65" s="0" t="s">
        <v>3337</v>
      </c>
      <c r="E65" s="0" t="s">
        <v>3338</v>
      </c>
      <c r="F65" s="0" t="s">
        <v>3209</v>
      </c>
      <c r="G65" s="0" t="s">
        <v>3339</v>
      </c>
    </row>
    <row customHeight="1" ht="11.25">
      <c r="A66" s="0" t="s">
        <v>14</v>
      </c>
      <c r="B66" s="0" t="s">
        <v>3323</v>
      </c>
      <c r="C66" s="0" t="s">
        <v>3324</v>
      </c>
      <c r="D66" s="0" t="s">
        <v>3340</v>
      </c>
      <c r="E66" s="0" t="s">
        <v>3341</v>
      </c>
      <c r="F66" s="0" t="s">
        <v>3209</v>
      </c>
      <c r="G66" s="0" t="s">
        <v>3342</v>
      </c>
    </row>
    <row customHeight="1" ht="11.25">
      <c r="A67" s="0" t="s">
        <v>14</v>
      </c>
      <c r="B67" s="0" t="s">
        <v>3323</v>
      </c>
      <c r="C67" s="0" t="s">
        <v>3324</v>
      </c>
      <c r="D67" s="0" t="s">
        <v>3343</v>
      </c>
      <c r="E67" s="0" t="s">
        <v>3344</v>
      </c>
      <c r="F67" s="0" t="s">
        <v>3209</v>
      </c>
      <c r="G67" s="0" t="s">
        <v>1928</v>
      </c>
    </row>
    <row customHeight="1" ht="11.25">
      <c r="A68" s="0" t="s">
        <v>14</v>
      </c>
      <c r="B68" s="0" t="s">
        <v>3323</v>
      </c>
      <c r="C68" s="0" t="s">
        <v>3324</v>
      </c>
      <c r="D68" s="0" t="s">
        <v>3345</v>
      </c>
      <c r="E68" s="0" t="s">
        <v>3346</v>
      </c>
      <c r="F68" s="0" t="s">
        <v>3209</v>
      </c>
      <c r="G68" s="0" t="s">
        <v>3347</v>
      </c>
    </row>
    <row customHeight="1" ht="11.25">
      <c r="A69" s="0" t="s">
        <v>14</v>
      </c>
      <c r="B69" s="0" t="s">
        <v>3323</v>
      </c>
      <c r="C69" s="0" t="s">
        <v>3324</v>
      </c>
      <c r="D69" s="0" t="s">
        <v>3348</v>
      </c>
      <c r="E69" s="0" t="s">
        <v>3349</v>
      </c>
      <c r="F69" s="0" t="s">
        <v>3209</v>
      </c>
      <c r="G69" s="0" t="s">
        <v>2139</v>
      </c>
    </row>
    <row customHeight="1" ht="11.25">
      <c r="A70" s="0" t="s">
        <v>14</v>
      </c>
      <c r="B70" s="0" t="s">
        <v>3323</v>
      </c>
      <c r="C70" s="0" t="s">
        <v>3324</v>
      </c>
      <c r="D70" s="0" t="s">
        <v>3350</v>
      </c>
      <c r="E70" s="0" t="s">
        <v>3351</v>
      </c>
      <c r="F70" s="0" t="s">
        <v>3209</v>
      </c>
      <c r="G70" s="0" t="s">
        <v>3352</v>
      </c>
    </row>
    <row customHeight="1" ht="11.25">
      <c r="A71" s="0" t="s">
        <v>14</v>
      </c>
      <c r="B71" s="0" t="s">
        <v>3353</v>
      </c>
      <c r="C71" s="0" t="s">
        <v>3354</v>
      </c>
      <c r="D71" s="0" t="s">
        <v>3355</v>
      </c>
      <c r="E71" s="0" t="s">
        <v>3356</v>
      </c>
      <c r="F71" s="0" t="s">
        <v>3209</v>
      </c>
      <c r="G71" s="0" t="s">
        <v>3357</v>
      </c>
    </row>
    <row customHeight="1" ht="11.25">
      <c r="A72" s="0" t="s">
        <v>14</v>
      </c>
      <c r="B72" s="0" t="s">
        <v>3353</v>
      </c>
      <c r="C72" s="0" t="s">
        <v>3354</v>
      </c>
      <c r="D72" s="0" t="s">
        <v>3353</v>
      </c>
      <c r="E72" s="0" t="s">
        <v>3354</v>
      </c>
      <c r="F72" s="0" t="s">
        <v>3206</v>
      </c>
      <c r="G72" s="0" t="s">
        <v>3358</v>
      </c>
    </row>
    <row customHeight="1" ht="11.25">
      <c r="A73" s="0" t="s">
        <v>14</v>
      </c>
      <c r="B73" s="0" t="s">
        <v>3353</v>
      </c>
      <c r="C73" s="0" t="s">
        <v>3354</v>
      </c>
      <c r="D73" s="0" t="s">
        <v>3359</v>
      </c>
      <c r="E73" s="0" t="s">
        <v>3360</v>
      </c>
      <c r="F73" s="0" t="s">
        <v>3209</v>
      </c>
      <c r="G73" s="0" t="s">
        <v>3361</v>
      </c>
    </row>
    <row customHeight="1" ht="11.25">
      <c r="A74" s="0" t="s">
        <v>14</v>
      </c>
      <c r="B74" s="0" t="s">
        <v>3353</v>
      </c>
      <c r="C74" s="0" t="s">
        <v>3354</v>
      </c>
      <c r="D74" s="0" t="s">
        <v>3362</v>
      </c>
      <c r="E74" s="0" t="s">
        <v>3363</v>
      </c>
      <c r="F74" s="0" t="s">
        <v>3209</v>
      </c>
      <c r="G74" s="0" t="s">
        <v>3364</v>
      </c>
    </row>
    <row customHeight="1" ht="11.25">
      <c r="A75" s="0" t="s">
        <v>14</v>
      </c>
      <c r="B75" s="0" t="s">
        <v>3353</v>
      </c>
      <c r="C75" s="0" t="s">
        <v>3354</v>
      </c>
      <c r="D75" s="0" t="s">
        <v>3365</v>
      </c>
      <c r="E75" s="0" t="s">
        <v>3366</v>
      </c>
      <c r="F75" s="0" t="s">
        <v>3209</v>
      </c>
      <c r="G75" s="0" t="s">
        <v>3367</v>
      </c>
    </row>
    <row customHeight="1" ht="11.25">
      <c r="A76" s="0" t="s">
        <v>14</v>
      </c>
      <c r="B76" s="0" t="s">
        <v>3368</v>
      </c>
      <c r="C76" s="0" t="s">
        <v>3369</v>
      </c>
      <c r="D76" s="0" t="s">
        <v>3368</v>
      </c>
      <c r="E76" s="0" t="s">
        <v>3369</v>
      </c>
      <c r="F76" s="0" t="s">
        <v>3206</v>
      </c>
      <c r="G76" s="0" t="s">
        <v>3370</v>
      </c>
    </row>
    <row customHeight="1" ht="11.25">
      <c r="A77" s="0" t="s">
        <v>14</v>
      </c>
      <c r="B77" s="0" t="s">
        <v>3368</v>
      </c>
      <c r="C77" s="0" t="s">
        <v>3369</v>
      </c>
      <c r="D77" s="0" t="s">
        <v>3371</v>
      </c>
      <c r="E77" s="0" t="s">
        <v>3372</v>
      </c>
      <c r="F77" s="0" t="s">
        <v>3209</v>
      </c>
      <c r="G77" s="0" t="s">
        <v>3373</v>
      </c>
    </row>
    <row customHeight="1" ht="11.25">
      <c r="A78" s="0" t="s">
        <v>14</v>
      </c>
      <c r="B78" s="0" t="s">
        <v>3368</v>
      </c>
      <c r="C78" s="0" t="s">
        <v>3369</v>
      </c>
      <c r="D78" s="0" t="s">
        <v>3374</v>
      </c>
      <c r="E78" s="0" t="s">
        <v>3375</v>
      </c>
      <c r="F78" s="0" t="s">
        <v>3209</v>
      </c>
      <c r="G78" s="0" t="s">
        <v>3376</v>
      </c>
    </row>
    <row customHeight="1" ht="11.25">
      <c r="A79" s="0" t="s">
        <v>14</v>
      </c>
      <c r="B79" s="0" t="s">
        <v>3368</v>
      </c>
      <c r="C79" s="0" t="s">
        <v>3369</v>
      </c>
      <c r="D79" s="0" t="s">
        <v>3377</v>
      </c>
      <c r="E79" s="0" t="s">
        <v>3378</v>
      </c>
      <c r="F79" s="0" t="s">
        <v>3209</v>
      </c>
      <c r="G79" s="0" t="s">
        <v>3379</v>
      </c>
    </row>
    <row customHeight="1" ht="11.25">
      <c r="A80" s="0" t="s">
        <v>14</v>
      </c>
      <c r="B80" s="0" t="s">
        <v>3368</v>
      </c>
      <c r="C80" s="0" t="s">
        <v>3369</v>
      </c>
      <c r="D80" s="0" t="s">
        <v>3380</v>
      </c>
      <c r="E80" s="0" t="s">
        <v>3381</v>
      </c>
      <c r="F80" s="0" t="s">
        <v>3209</v>
      </c>
      <c r="G80" s="0" t="s">
        <v>3382</v>
      </c>
    </row>
    <row customHeight="1" ht="11.25">
      <c r="A81" s="0" t="s">
        <v>14</v>
      </c>
      <c r="B81" s="0" t="s">
        <v>3368</v>
      </c>
      <c r="C81" s="0" t="s">
        <v>3369</v>
      </c>
      <c r="D81" s="0" t="s">
        <v>3383</v>
      </c>
      <c r="E81" s="0" t="s">
        <v>3384</v>
      </c>
      <c r="F81" s="0" t="s">
        <v>3209</v>
      </c>
      <c r="G81" s="0" t="s">
        <v>3385</v>
      </c>
    </row>
    <row customHeight="1" ht="11.25">
      <c r="A82" s="0" t="s">
        <v>14</v>
      </c>
      <c r="B82" s="0" t="s">
        <v>3368</v>
      </c>
      <c r="C82" s="0" t="s">
        <v>3369</v>
      </c>
      <c r="D82" s="0" t="s">
        <v>3386</v>
      </c>
      <c r="E82" s="0" t="s">
        <v>3387</v>
      </c>
      <c r="F82" s="0" t="s">
        <v>3209</v>
      </c>
      <c r="G82" s="0" t="s">
        <v>3388</v>
      </c>
    </row>
    <row customHeight="1" ht="11.25">
      <c r="A83" s="0" t="s">
        <v>14</v>
      </c>
      <c r="B83" s="0" t="s">
        <v>3368</v>
      </c>
      <c r="C83" s="0" t="s">
        <v>3369</v>
      </c>
      <c r="D83" s="0" t="s">
        <v>3389</v>
      </c>
      <c r="E83" s="0" t="s">
        <v>3390</v>
      </c>
      <c r="F83" s="0" t="s">
        <v>3209</v>
      </c>
      <c r="G83" s="0" t="s">
        <v>3391</v>
      </c>
    </row>
    <row customHeight="1" ht="11.25">
      <c r="A84" s="0" t="s">
        <v>14</v>
      </c>
      <c r="B84" s="0" t="s">
        <v>99</v>
      </c>
      <c r="C84" s="0" t="s">
        <v>100</v>
      </c>
      <c r="D84" s="0" t="s">
        <v>99</v>
      </c>
      <c r="E84" s="0" t="s">
        <v>100</v>
      </c>
      <c r="F84" s="0" t="s">
        <v>3392</v>
      </c>
      <c r="G84" s="0" t="s">
        <v>98</v>
      </c>
    </row>
    <row customHeight="1" ht="11.25">
      <c r="A85" s="0" t="s">
        <v>14</v>
      </c>
      <c r="B85" s="0" t="s">
        <v>3393</v>
      </c>
      <c r="C85" s="0" t="s">
        <v>3394</v>
      </c>
      <c r="D85" s="0" t="s">
        <v>3393</v>
      </c>
      <c r="E85" s="0" t="s">
        <v>3394</v>
      </c>
      <c r="F85" s="0" t="s">
        <v>3392</v>
      </c>
      <c r="G85" s="0" t="s">
        <v>3395</v>
      </c>
    </row>
    <row customHeight="1" ht="11.25">
      <c r="A86" s="0" t="s">
        <v>14</v>
      </c>
      <c r="B86" s="0" t="s">
        <v>3396</v>
      </c>
      <c r="C86" s="0" t="s">
        <v>3397</v>
      </c>
      <c r="D86" s="0" t="s">
        <v>3396</v>
      </c>
      <c r="E86" s="0" t="s">
        <v>3397</v>
      </c>
      <c r="F86" s="0" t="s">
        <v>3392</v>
      </c>
      <c r="G86" s="0" t="s">
        <v>3398</v>
      </c>
    </row>
    <row customHeight="1" ht="11.25">
      <c r="A87" s="0" t="s">
        <v>14</v>
      </c>
      <c r="B87" s="0" t="s">
        <v>3399</v>
      </c>
      <c r="C87" s="0" t="s">
        <v>3400</v>
      </c>
      <c r="D87" s="0" t="s">
        <v>3399</v>
      </c>
      <c r="E87" s="0" t="s">
        <v>3400</v>
      </c>
      <c r="F87" s="0" t="s">
        <v>3392</v>
      </c>
      <c r="G87" s="0" t="s">
        <v>3401</v>
      </c>
    </row>
    <row customHeight="1" ht="11.25">
      <c r="A88" s="0" t="s">
        <v>14</v>
      </c>
      <c r="B88" s="0" t="s">
        <v>3402</v>
      </c>
      <c r="C88" s="0" t="s">
        <v>3403</v>
      </c>
      <c r="D88" s="0" t="s">
        <v>3402</v>
      </c>
      <c r="E88" s="0" t="s">
        <v>3403</v>
      </c>
      <c r="F88" s="0" t="s">
        <v>3392</v>
      </c>
      <c r="G88" s="0" t="s">
        <v>3404</v>
      </c>
    </row>
    <row customHeight="1" ht="11.25">
      <c r="A89" s="0" t="s">
        <v>14</v>
      </c>
      <c r="B89" s="0" t="s">
        <v>3405</v>
      </c>
      <c r="C89" s="0" t="s">
        <v>3406</v>
      </c>
      <c r="D89" s="0" t="s">
        <v>3405</v>
      </c>
      <c r="E89" s="0" t="s">
        <v>3406</v>
      </c>
      <c r="F89" s="0" t="s">
        <v>3392</v>
      </c>
      <c r="G89" s="0" t="s">
        <v>3407</v>
      </c>
    </row>
    <row customHeight="1" ht="11.25">
      <c r="A90" s="0" t="s">
        <v>14</v>
      </c>
      <c r="B90" s="0" t="s">
        <v>3408</v>
      </c>
      <c r="C90" s="0" t="s">
        <v>3409</v>
      </c>
      <c r="D90" s="0" t="s">
        <v>3408</v>
      </c>
      <c r="E90" s="0" t="s">
        <v>3409</v>
      </c>
      <c r="F90" s="0" t="s">
        <v>3392</v>
      </c>
      <c r="G90" s="0" t="s">
        <v>3410</v>
      </c>
    </row>
    <row customHeight="1" ht="11.25">
      <c r="A91" s="0" t="s">
        <v>14</v>
      </c>
      <c r="B91" s="0" t="s">
        <v>3411</v>
      </c>
      <c r="C91" s="0" t="s">
        <v>3412</v>
      </c>
      <c r="D91" s="0" t="s">
        <v>3411</v>
      </c>
      <c r="E91" s="0" t="s">
        <v>3412</v>
      </c>
      <c r="F91" s="0" t="s">
        <v>3392</v>
      </c>
      <c r="G91" s="0" t="s">
        <v>3413</v>
      </c>
    </row>
    <row customHeight="1" ht="11.25">
      <c r="A92" s="0" t="s">
        <v>14</v>
      </c>
      <c r="B92" s="0" t="s">
        <v>3414</v>
      </c>
      <c r="C92" s="0" t="s">
        <v>3415</v>
      </c>
      <c r="D92" s="0" t="s">
        <v>3414</v>
      </c>
      <c r="E92" s="0" t="s">
        <v>3415</v>
      </c>
      <c r="F92" s="0" t="s">
        <v>3392</v>
      </c>
      <c r="G92" s="0" t="s">
        <v>3416</v>
      </c>
    </row>
    <row customHeight="1" ht="11.25">
      <c r="A93" s="0" t="s">
        <v>14</v>
      </c>
      <c r="B93" s="0" t="s">
        <v>3417</v>
      </c>
      <c r="C93" s="0" t="s">
        <v>3418</v>
      </c>
      <c r="D93" s="0" t="s">
        <v>3417</v>
      </c>
      <c r="E93" s="0" t="s">
        <v>3418</v>
      </c>
      <c r="F93" s="0" t="s">
        <v>3392</v>
      </c>
      <c r="G93" s="0" t="s">
        <v>3419</v>
      </c>
    </row>
    <row customHeight="1" ht="11.25">
      <c r="A94" s="0" t="s">
        <v>14</v>
      </c>
      <c r="B94" s="0" t="s">
        <v>3420</v>
      </c>
      <c r="C94" s="0" t="s">
        <v>3421</v>
      </c>
      <c r="D94" s="0" t="s">
        <v>3420</v>
      </c>
      <c r="E94" s="0" t="s">
        <v>3421</v>
      </c>
      <c r="F94" s="0" t="s">
        <v>3392</v>
      </c>
      <c r="G94" s="0" t="s">
        <v>3422</v>
      </c>
    </row>
    <row customHeight="1" ht="11.25">
      <c r="A95" s="0" t="s">
        <v>14</v>
      </c>
      <c r="B95" s="0" t="s">
        <v>3423</v>
      </c>
      <c r="C95" s="0" t="s">
        <v>3424</v>
      </c>
      <c r="D95" s="0" t="s">
        <v>3423</v>
      </c>
      <c r="E95" s="0" t="s">
        <v>3424</v>
      </c>
      <c r="F95" s="0" t="s">
        <v>3392</v>
      </c>
      <c r="G95" s="0" t="s">
        <v>3425</v>
      </c>
    </row>
    <row customHeight="1" ht="11.25">
      <c r="A96" s="0" t="s">
        <v>14</v>
      </c>
      <c r="B96" s="0" t="s">
        <v>3426</v>
      </c>
      <c r="C96" s="0" t="s">
        <v>3427</v>
      </c>
      <c r="D96" s="0" t="s">
        <v>3428</v>
      </c>
      <c r="E96" s="0" t="s">
        <v>3429</v>
      </c>
      <c r="F96" s="0" t="s">
        <v>3209</v>
      </c>
      <c r="G96" s="0" t="s">
        <v>3430</v>
      </c>
    </row>
    <row customHeight="1" ht="11.25">
      <c r="A97" s="0" t="s">
        <v>14</v>
      </c>
      <c r="B97" s="0" t="s">
        <v>3426</v>
      </c>
      <c r="C97" s="0" t="s">
        <v>3427</v>
      </c>
      <c r="D97" s="0" t="s">
        <v>3431</v>
      </c>
      <c r="E97" s="0" t="s">
        <v>3432</v>
      </c>
      <c r="F97" s="0" t="s">
        <v>3209</v>
      </c>
      <c r="G97" s="0" t="s">
        <v>3433</v>
      </c>
    </row>
    <row customHeight="1" ht="11.25">
      <c r="A98" s="0" t="s">
        <v>14</v>
      </c>
      <c r="B98" s="0" t="s">
        <v>3426</v>
      </c>
      <c r="C98" s="0" t="s">
        <v>3427</v>
      </c>
      <c r="D98" s="0" t="s">
        <v>3434</v>
      </c>
      <c r="E98" s="0" t="s">
        <v>3435</v>
      </c>
      <c r="F98" s="0" t="s">
        <v>3209</v>
      </c>
      <c r="G98" s="0" t="s">
        <v>3436</v>
      </c>
    </row>
    <row customHeight="1" ht="11.25">
      <c r="A99" s="0" t="s">
        <v>14</v>
      </c>
      <c r="B99" s="0" t="s">
        <v>3426</v>
      </c>
      <c r="C99" s="0" t="s">
        <v>3427</v>
      </c>
      <c r="D99" s="0" t="s">
        <v>3359</v>
      </c>
      <c r="E99" s="0" t="s">
        <v>3437</v>
      </c>
      <c r="F99" s="0" t="s">
        <v>3209</v>
      </c>
      <c r="G99" s="0" t="s">
        <v>3438</v>
      </c>
    </row>
    <row customHeight="1" ht="11.25">
      <c r="A100" s="0" t="s">
        <v>14</v>
      </c>
      <c r="B100" s="0" t="s">
        <v>3426</v>
      </c>
      <c r="C100" s="0" t="s">
        <v>3427</v>
      </c>
      <c r="D100" s="0" t="s">
        <v>3439</v>
      </c>
      <c r="E100" s="0" t="s">
        <v>3440</v>
      </c>
      <c r="F100" s="0" t="s">
        <v>3209</v>
      </c>
      <c r="G100" s="0" t="s">
        <v>3441</v>
      </c>
    </row>
    <row customHeight="1" ht="11.25">
      <c r="A101" s="0" t="s">
        <v>14</v>
      </c>
      <c r="B101" s="0" t="s">
        <v>3426</v>
      </c>
      <c r="C101" s="0" t="s">
        <v>3427</v>
      </c>
      <c r="D101" s="0" t="s">
        <v>3426</v>
      </c>
      <c r="E101" s="0" t="s">
        <v>3427</v>
      </c>
      <c r="F101" s="0" t="s">
        <v>3206</v>
      </c>
      <c r="G101" s="0" t="s">
        <v>3442</v>
      </c>
    </row>
    <row customHeight="1" ht="11.25">
      <c r="A102" s="0" t="s">
        <v>14</v>
      </c>
      <c r="B102" s="0" t="s">
        <v>3426</v>
      </c>
      <c r="C102" s="0" t="s">
        <v>3427</v>
      </c>
      <c r="D102" s="0" t="s">
        <v>3443</v>
      </c>
      <c r="E102" s="0" t="s">
        <v>3444</v>
      </c>
      <c r="F102" s="0" t="s">
        <v>3209</v>
      </c>
      <c r="G102" s="0" t="s">
        <v>3445</v>
      </c>
    </row>
    <row customHeight="1" ht="11.25">
      <c r="A103" s="0" t="s">
        <v>14</v>
      </c>
      <c r="B103" s="0" t="s">
        <v>3426</v>
      </c>
      <c r="C103" s="0" t="s">
        <v>3427</v>
      </c>
      <c r="D103" s="0" t="s">
        <v>3446</v>
      </c>
      <c r="E103" s="0" t="s">
        <v>3447</v>
      </c>
      <c r="F103" s="0" t="s">
        <v>3209</v>
      </c>
      <c r="G103" s="0" t="s">
        <v>3448</v>
      </c>
    </row>
    <row customHeight="1" ht="11.25">
      <c r="A104" s="0" t="s">
        <v>14</v>
      </c>
      <c r="B104" s="0" t="s">
        <v>3426</v>
      </c>
      <c r="C104" s="0" t="s">
        <v>3427</v>
      </c>
      <c r="D104" s="0" t="s">
        <v>3449</v>
      </c>
      <c r="E104" s="0" t="s">
        <v>3450</v>
      </c>
      <c r="F104" s="0" t="s">
        <v>3209</v>
      </c>
      <c r="G104" s="0" t="s">
        <v>3451</v>
      </c>
    </row>
    <row customHeight="1" ht="11.25">
      <c r="A105" s="0" t="s">
        <v>14</v>
      </c>
      <c r="B105" s="0" t="s">
        <v>3426</v>
      </c>
      <c r="C105" s="0" t="s">
        <v>3427</v>
      </c>
      <c r="D105" s="0" t="s">
        <v>3452</v>
      </c>
      <c r="E105" s="0" t="s">
        <v>3453</v>
      </c>
      <c r="F105" s="0" t="s">
        <v>3209</v>
      </c>
      <c r="G105" s="0" t="s">
        <v>3454</v>
      </c>
    </row>
    <row customHeight="1" ht="11.25">
      <c r="A106" s="0" t="s">
        <v>14</v>
      </c>
      <c r="B106" s="0" t="s">
        <v>3426</v>
      </c>
      <c r="C106" s="0" t="s">
        <v>3427</v>
      </c>
      <c r="D106" s="0" t="s">
        <v>3455</v>
      </c>
      <c r="E106" s="0" t="s">
        <v>3456</v>
      </c>
      <c r="F106" s="0" t="s">
        <v>3209</v>
      </c>
      <c r="G106" s="0" t="s">
        <v>3457</v>
      </c>
    </row>
    <row customHeight="1" ht="11.25">
      <c r="A107" s="0" t="s">
        <v>14</v>
      </c>
      <c r="B107" s="0" t="s">
        <v>3426</v>
      </c>
      <c r="C107" s="0" t="s">
        <v>3427</v>
      </c>
      <c r="D107" s="0" t="s">
        <v>3458</v>
      </c>
      <c r="E107" s="0" t="s">
        <v>3459</v>
      </c>
      <c r="F107" s="0" t="s">
        <v>3209</v>
      </c>
      <c r="G107" s="0" t="s">
        <v>3460</v>
      </c>
    </row>
    <row customHeight="1" ht="11.25">
      <c r="A108" s="0" t="s">
        <v>14</v>
      </c>
      <c r="B108" s="0" t="s">
        <v>3426</v>
      </c>
      <c r="C108" s="0" t="s">
        <v>3427</v>
      </c>
      <c r="D108" s="0" t="s">
        <v>3386</v>
      </c>
      <c r="E108" s="0" t="s">
        <v>3461</v>
      </c>
      <c r="F108" s="0" t="s">
        <v>3209</v>
      </c>
      <c r="G108" s="0" t="s">
        <v>3462</v>
      </c>
    </row>
    <row customHeight="1" ht="11.25">
      <c r="A109" s="0" t="s">
        <v>14</v>
      </c>
      <c r="B109" s="0" t="s">
        <v>3426</v>
      </c>
      <c r="C109" s="0" t="s">
        <v>3427</v>
      </c>
      <c r="D109" s="0" t="s">
        <v>3463</v>
      </c>
      <c r="E109" s="0" t="s">
        <v>3464</v>
      </c>
      <c r="F109" s="0" t="s">
        <v>3209</v>
      </c>
      <c r="G109" s="0" t="s">
        <v>3465</v>
      </c>
    </row>
    <row customHeight="1" ht="11.25">
      <c r="A110" s="0" t="s">
        <v>14</v>
      </c>
      <c r="B110" s="0" t="s">
        <v>3466</v>
      </c>
      <c r="C110" s="0" t="s">
        <v>3467</v>
      </c>
      <c r="D110" s="0" t="s">
        <v>3468</v>
      </c>
      <c r="E110" s="0" t="s">
        <v>3469</v>
      </c>
      <c r="F110" s="0" t="s">
        <v>3209</v>
      </c>
      <c r="G110" s="0" t="s">
        <v>3470</v>
      </c>
    </row>
    <row customHeight="1" ht="11.25">
      <c r="A111" s="0" t="s">
        <v>14</v>
      </c>
      <c r="B111" s="0" t="s">
        <v>3466</v>
      </c>
      <c r="C111" s="0" t="s">
        <v>3467</v>
      </c>
      <c r="D111" s="0" t="s">
        <v>3471</v>
      </c>
      <c r="E111" s="0" t="s">
        <v>3472</v>
      </c>
      <c r="F111" s="0" t="s">
        <v>3209</v>
      </c>
      <c r="G111" s="0" t="s">
        <v>3473</v>
      </c>
    </row>
    <row customHeight="1" ht="11.25">
      <c r="A112" s="0" t="s">
        <v>14</v>
      </c>
      <c r="B112" s="0" t="s">
        <v>3466</v>
      </c>
      <c r="C112" s="0" t="s">
        <v>3467</v>
      </c>
      <c r="D112" s="0" t="s">
        <v>3466</v>
      </c>
      <c r="E112" s="0" t="s">
        <v>3467</v>
      </c>
      <c r="F112" s="0" t="s">
        <v>3206</v>
      </c>
      <c r="G112" s="0" t="s">
        <v>3474</v>
      </c>
    </row>
    <row customHeight="1" ht="11.25">
      <c r="A113" s="0" t="s">
        <v>14</v>
      </c>
      <c r="B113" s="0" t="s">
        <v>3466</v>
      </c>
      <c r="C113" s="0" t="s">
        <v>3467</v>
      </c>
      <c r="D113" s="0" t="s">
        <v>3475</v>
      </c>
      <c r="E113" s="0" t="s">
        <v>3476</v>
      </c>
      <c r="F113" s="0" t="s">
        <v>3209</v>
      </c>
      <c r="G113" s="0" t="s">
        <v>3477</v>
      </c>
    </row>
    <row customHeight="1" ht="11.25">
      <c r="A114" s="0" t="s">
        <v>14</v>
      </c>
      <c r="B114" s="0" t="s">
        <v>3466</v>
      </c>
      <c r="C114" s="0" t="s">
        <v>3467</v>
      </c>
      <c r="D114" s="0" t="s">
        <v>3291</v>
      </c>
      <c r="E114" s="0" t="s">
        <v>3478</v>
      </c>
      <c r="F114" s="0" t="s">
        <v>3209</v>
      </c>
      <c r="G114" s="0" t="s">
        <v>3479</v>
      </c>
    </row>
    <row customHeight="1" ht="11.25">
      <c r="A115" s="0" t="s">
        <v>14</v>
      </c>
      <c r="B115" s="0" t="s">
        <v>3466</v>
      </c>
      <c r="C115" s="0" t="s">
        <v>3467</v>
      </c>
      <c r="D115" s="0" t="s">
        <v>3480</v>
      </c>
      <c r="E115" s="0" t="s">
        <v>3481</v>
      </c>
      <c r="F115" s="0" t="s">
        <v>3209</v>
      </c>
      <c r="G115" s="0" t="s">
        <v>3482</v>
      </c>
    </row>
    <row customHeight="1" ht="11.25">
      <c r="A116" s="0" t="s">
        <v>14</v>
      </c>
      <c r="B116" s="0" t="s">
        <v>3466</v>
      </c>
      <c r="C116" s="0" t="s">
        <v>3467</v>
      </c>
      <c r="D116" s="0" t="s">
        <v>3483</v>
      </c>
      <c r="E116" s="0" t="s">
        <v>3484</v>
      </c>
      <c r="F116" s="0" t="s">
        <v>3209</v>
      </c>
      <c r="G116" s="0" t="s">
        <v>3485</v>
      </c>
    </row>
    <row customHeight="1" ht="11.25">
      <c r="A117" s="0" t="s">
        <v>14</v>
      </c>
      <c r="B117" s="0" t="s">
        <v>3466</v>
      </c>
      <c r="C117" s="0" t="s">
        <v>3467</v>
      </c>
      <c r="D117" s="0" t="s">
        <v>3486</v>
      </c>
      <c r="E117" s="0" t="s">
        <v>3487</v>
      </c>
      <c r="F117" s="0" t="s">
        <v>3209</v>
      </c>
      <c r="G117" s="0" t="s">
        <v>3488</v>
      </c>
    </row>
    <row customHeight="1" ht="11.25">
      <c r="A118" s="0" t="s">
        <v>14</v>
      </c>
      <c r="B118" s="0" t="s">
        <v>3466</v>
      </c>
      <c r="C118" s="0" t="s">
        <v>3467</v>
      </c>
      <c r="D118" s="0" t="s">
        <v>3489</v>
      </c>
      <c r="E118" s="0" t="s">
        <v>3490</v>
      </c>
      <c r="F118" s="0" t="s">
        <v>3209</v>
      </c>
      <c r="G118" s="0" t="s">
        <v>3491</v>
      </c>
    </row>
    <row customHeight="1" ht="11.25">
      <c r="A119" s="0" t="s">
        <v>14</v>
      </c>
      <c r="B119" s="0" t="s">
        <v>3466</v>
      </c>
      <c r="C119" s="0" t="s">
        <v>3467</v>
      </c>
      <c r="D119" s="0" t="s">
        <v>3492</v>
      </c>
      <c r="E119" s="0" t="s">
        <v>3493</v>
      </c>
      <c r="F119" s="0" t="s">
        <v>3209</v>
      </c>
      <c r="G119" s="0" t="s">
        <v>3494</v>
      </c>
    </row>
    <row customHeight="1" ht="11.25">
      <c r="A120" s="0" t="s">
        <v>14</v>
      </c>
      <c r="B120" s="0" t="s">
        <v>3495</v>
      </c>
      <c r="C120" s="0" t="s">
        <v>3496</v>
      </c>
      <c r="D120" s="0" t="s">
        <v>3495</v>
      </c>
      <c r="E120" s="0" t="s">
        <v>3496</v>
      </c>
      <c r="F120" s="0" t="s">
        <v>3206</v>
      </c>
      <c r="G120" s="0" t="s">
        <v>3497</v>
      </c>
    </row>
    <row customHeight="1" ht="11.25">
      <c r="A121" s="0" t="s">
        <v>14</v>
      </c>
      <c r="B121" s="0" t="s">
        <v>3495</v>
      </c>
      <c r="C121" s="0" t="s">
        <v>3496</v>
      </c>
      <c r="D121" s="0" t="s">
        <v>3498</v>
      </c>
      <c r="E121" s="0" t="s">
        <v>3499</v>
      </c>
      <c r="F121" s="0" t="s">
        <v>3209</v>
      </c>
      <c r="G121" s="0" t="s">
        <v>3500</v>
      </c>
    </row>
    <row customHeight="1" ht="11.25">
      <c r="A122" s="0" t="s">
        <v>14</v>
      </c>
      <c r="B122" s="0" t="s">
        <v>3495</v>
      </c>
      <c r="C122" s="0" t="s">
        <v>3496</v>
      </c>
      <c r="D122" s="0" t="s">
        <v>3501</v>
      </c>
      <c r="E122" s="0" t="s">
        <v>3502</v>
      </c>
      <c r="F122" s="0" t="s">
        <v>3209</v>
      </c>
      <c r="G122" s="0" t="s">
        <v>3503</v>
      </c>
    </row>
    <row customHeight="1" ht="11.25">
      <c r="A123" s="0" t="s">
        <v>14</v>
      </c>
      <c r="B123" s="0" t="s">
        <v>3495</v>
      </c>
      <c r="C123" s="0" t="s">
        <v>3496</v>
      </c>
      <c r="D123" s="0" t="s">
        <v>3504</v>
      </c>
      <c r="E123" s="0" t="s">
        <v>3505</v>
      </c>
      <c r="F123" s="0" t="s">
        <v>3209</v>
      </c>
      <c r="G123" s="0" t="s">
        <v>3506</v>
      </c>
    </row>
    <row customHeight="1" ht="11.25">
      <c r="A124" s="0" t="s">
        <v>14</v>
      </c>
      <c r="B124" s="0" t="s">
        <v>3495</v>
      </c>
      <c r="C124" s="0" t="s">
        <v>3496</v>
      </c>
      <c r="D124" s="0" t="s">
        <v>3507</v>
      </c>
      <c r="E124" s="0" t="s">
        <v>3508</v>
      </c>
      <c r="F124" s="0" t="s">
        <v>3209</v>
      </c>
      <c r="G124" s="0" t="s">
        <v>3509</v>
      </c>
    </row>
    <row customHeight="1" ht="11.25">
      <c r="A125" s="0" t="s">
        <v>14</v>
      </c>
      <c r="B125" s="0" t="s">
        <v>3495</v>
      </c>
      <c r="C125" s="0" t="s">
        <v>3496</v>
      </c>
      <c r="D125" s="0" t="s">
        <v>3510</v>
      </c>
      <c r="E125" s="0" t="s">
        <v>3511</v>
      </c>
      <c r="F125" s="0" t="s">
        <v>3209</v>
      </c>
      <c r="G125" s="0" t="s">
        <v>3512</v>
      </c>
    </row>
    <row customHeight="1" ht="11.25">
      <c r="A126" s="0" t="s">
        <v>14</v>
      </c>
      <c r="B126" s="0" t="s">
        <v>3495</v>
      </c>
      <c r="C126" s="0" t="s">
        <v>3496</v>
      </c>
      <c r="D126" s="0" t="s">
        <v>3513</v>
      </c>
      <c r="E126" s="0" t="s">
        <v>3514</v>
      </c>
      <c r="F126" s="0" t="s">
        <v>3209</v>
      </c>
      <c r="G126" s="0" t="s">
        <v>3515</v>
      </c>
    </row>
    <row customHeight="1" ht="11.25">
      <c r="A127" s="0" t="s">
        <v>14</v>
      </c>
      <c r="B127" s="0" t="s">
        <v>3495</v>
      </c>
      <c r="C127" s="0" t="s">
        <v>3496</v>
      </c>
      <c r="D127" s="0" t="s">
        <v>3516</v>
      </c>
      <c r="E127" s="0" t="s">
        <v>3517</v>
      </c>
      <c r="F127" s="0" t="s">
        <v>3209</v>
      </c>
      <c r="G127" s="0" t="s">
        <v>3518</v>
      </c>
    </row>
    <row customHeight="1" ht="11.25">
      <c r="A128" s="0" t="s">
        <v>14</v>
      </c>
      <c r="B128" s="0" t="s">
        <v>3495</v>
      </c>
      <c r="C128" s="0" t="s">
        <v>3496</v>
      </c>
      <c r="D128" s="0" t="s">
        <v>3519</v>
      </c>
      <c r="E128" s="0" t="s">
        <v>3520</v>
      </c>
      <c r="F128" s="0" t="s">
        <v>3209</v>
      </c>
      <c r="G128" s="0" t="s">
        <v>3521</v>
      </c>
    </row>
    <row customHeight="1" ht="11.25">
      <c r="A129" s="0" t="s">
        <v>14</v>
      </c>
      <c r="B129" s="0" t="s">
        <v>3495</v>
      </c>
      <c r="C129" s="0" t="s">
        <v>3496</v>
      </c>
      <c r="D129" s="0" t="s">
        <v>3522</v>
      </c>
      <c r="E129" s="0" t="s">
        <v>3523</v>
      </c>
      <c r="F129" s="0" t="s">
        <v>3209</v>
      </c>
      <c r="G129" s="0" t="s">
        <v>3524</v>
      </c>
    </row>
    <row customHeight="1" ht="11.25">
      <c r="A130" s="0" t="s">
        <v>14</v>
      </c>
      <c r="B130" s="0" t="s">
        <v>3525</v>
      </c>
      <c r="C130" s="0" t="s">
        <v>3526</v>
      </c>
      <c r="D130" s="0" t="s">
        <v>3527</v>
      </c>
      <c r="E130" s="0" t="s">
        <v>3528</v>
      </c>
      <c r="F130" s="0" t="s">
        <v>3209</v>
      </c>
      <c r="G130" s="0" t="s">
        <v>3529</v>
      </c>
    </row>
    <row customHeight="1" ht="11.25">
      <c r="A131" s="0" t="s">
        <v>14</v>
      </c>
      <c r="B131" s="0" t="s">
        <v>3525</v>
      </c>
      <c r="C131" s="0" t="s">
        <v>3526</v>
      </c>
      <c r="D131" s="0" t="s">
        <v>3530</v>
      </c>
      <c r="E131" s="0" t="s">
        <v>3531</v>
      </c>
      <c r="F131" s="0" t="s">
        <v>3209</v>
      </c>
      <c r="G131" s="0" t="s">
        <v>3532</v>
      </c>
    </row>
    <row customHeight="1" ht="11.25">
      <c r="A132" s="0" t="s">
        <v>14</v>
      </c>
      <c r="B132" s="0" t="s">
        <v>3525</v>
      </c>
      <c r="C132" s="0" t="s">
        <v>3526</v>
      </c>
      <c r="D132" s="0" t="s">
        <v>3533</v>
      </c>
      <c r="E132" s="0" t="s">
        <v>3534</v>
      </c>
      <c r="F132" s="0" t="s">
        <v>3209</v>
      </c>
      <c r="G132" s="0" t="s">
        <v>3535</v>
      </c>
    </row>
    <row customHeight="1" ht="11.25">
      <c r="A133" s="0" t="s">
        <v>14</v>
      </c>
      <c r="B133" s="0" t="s">
        <v>3525</v>
      </c>
      <c r="C133" s="0" t="s">
        <v>3526</v>
      </c>
      <c r="D133" s="0" t="s">
        <v>3525</v>
      </c>
      <c r="E133" s="0" t="s">
        <v>3526</v>
      </c>
      <c r="F133" s="0" t="s">
        <v>3206</v>
      </c>
      <c r="G133" s="0" t="s">
        <v>3536</v>
      </c>
    </row>
    <row customHeight="1" ht="11.25">
      <c r="A134" s="0" t="s">
        <v>14</v>
      </c>
      <c r="B134" s="0" t="s">
        <v>3525</v>
      </c>
      <c r="C134" s="0" t="s">
        <v>3526</v>
      </c>
      <c r="D134" s="0" t="s">
        <v>3537</v>
      </c>
      <c r="E134" s="0" t="s">
        <v>3538</v>
      </c>
      <c r="F134" s="0" t="s">
        <v>3248</v>
      </c>
      <c r="G134" s="0" t="s">
        <v>3539</v>
      </c>
    </row>
    <row customHeight="1" ht="11.25">
      <c r="A135" s="0" t="s">
        <v>14</v>
      </c>
      <c r="B135" s="0" t="s">
        <v>3525</v>
      </c>
      <c r="C135" s="0" t="s">
        <v>3526</v>
      </c>
      <c r="D135" s="0" t="s">
        <v>3540</v>
      </c>
      <c r="E135" s="0" t="s">
        <v>3541</v>
      </c>
      <c r="F135" s="0" t="s">
        <v>3209</v>
      </c>
      <c r="G135" s="0" t="s">
        <v>3542</v>
      </c>
    </row>
    <row customHeight="1" ht="11.25">
      <c r="A136" s="0" t="s">
        <v>14</v>
      </c>
      <c r="B136" s="0" t="s">
        <v>3525</v>
      </c>
      <c r="C136" s="0" t="s">
        <v>3526</v>
      </c>
      <c r="D136" s="0" t="s">
        <v>3543</v>
      </c>
      <c r="E136" s="0" t="s">
        <v>3544</v>
      </c>
      <c r="F136" s="0" t="s">
        <v>3209</v>
      </c>
      <c r="G136" s="0" t="s">
        <v>3545</v>
      </c>
    </row>
    <row customHeight="1" ht="11.25">
      <c r="A137" s="0" t="s">
        <v>14</v>
      </c>
      <c r="B137" s="0" t="s">
        <v>3525</v>
      </c>
      <c r="C137" s="0" t="s">
        <v>3526</v>
      </c>
      <c r="D137" s="0" t="s">
        <v>3279</v>
      </c>
      <c r="E137" s="0" t="s">
        <v>3546</v>
      </c>
      <c r="F137" s="0" t="s">
        <v>3209</v>
      </c>
      <c r="G137" s="0" t="s">
        <v>3547</v>
      </c>
    </row>
    <row customHeight="1" ht="11.25">
      <c r="A138" s="0" t="s">
        <v>14</v>
      </c>
      <c r="B138" s="0" t="s">
        <v>3525</v>
      </c>
      <c r="C138" s="0" t="s">
        <v>3526</v>
      </c>
      <c r="D138" s="0" t="s">
        <v>3548</v>
      </c>
      <c r="E138" s="0" t="s">
        <v>3549</v>
      </c>
      <c r="F138" s="0" t="s">
        <v>3209</v>
      </c>
      <c r="G138" s="0" t="s">
        <v>3550</v>
      </c>
    </row>
    <row customHeight="1" ht="11.25">
      <c r="A139" s="0" t="s">
        <v>14</v>
      </c>
      <c r="B139" s="0" t="s">
        <v>3525</v>
      </c>
      <c r="C139" s="0" t="s">
        <v>3526</v>
      </c>
      <c r="D139" s="0" t="s">
        <v>3551</v>
      </c>
      <c r="E139" s="0" t="s">
        <v>3552</v>
      </c>
      <c r="F139" s="0" t="s">
        <v>3209</v>
      </c>
      <c r="G139" s="0" t="s">
        <v>3553</v>
      </c>
    </row>
    <row customHeight="1" ht="11.25">
      <c r="A140" s="0" t="s">
        <v>14</v>
      </c>
      <c r="B140" s="0" t="s">
        <v>3554</v>
      </c>
      <c r="C140" s="0" t="s">
        <v>3555</v>
      </c>
      <c r="D140" s="0" t="s">
        <v>3556</v>
      </c>
      <c r="E140" s="0" t="s">
        <v>3557</v>
      </c>
      <c r="F140" s="0" t="s">
        <v>3209</v>
      </c>
      <c r="G140" s="0" t="s">
        <v>3558</v>
      </c>
    </row>
    <row customHeight="1" ht="11.25">
      <c r="A141" s="0" t="s">
        <v>14</v>
      </c>
      <c r="B141" s="0" t="s">
        <v>3554</v>
      </c>
      <c r="C141" s="0" t="s">
        <v>3555</v>
      </c>
      <c r="D141" s="0" t="s">
        <v>3559</v>
      </c>
      <c r="E141" s="0" t="s">
        <v>3560</v>
      </c>
      <c r="F141" s="0" t="s">
        <v>3209</v>
      </c>
      <c r="G141" s="0" t="s">
        <v>3561</v>
      </c>
    </row>
    <row customHeight="1" ht="11.25">
      <c r="A142" s="0" t="s">
        <v>14</v>
      </c>
      <c r="B142" s="0" t="s">
        <v>3554</v>
      </c>
      <c r="C142" s="0" t="s">
        <v>3555</v>
      </c>
      <c r="D142" s="0" t="s">
        <v>3562</v>
      </c>
      <c r="E142" s="0" t="s">
        <v>3563</v>
      </c>
      <c r="F142" s="0" t="s">
        <v>3209</v>
      </c>
      <c r="G142" s="0" t="s">
        <v>3564</v>
      </c>
    </row>
    <row customHeight="1" ht="11.25">
      <c r="A143" s="0" t="s">
        <v>14</v>
      </c>
      <c r="B143" s="0" t="s">
        <v>3554</v>
      </c>
      <c r="C143" s="0" t="s">
        <v>3555</v>
      </c>
      <c r="D143" s="0" t="s">
        <v>3554</v>
      </c>
      <c r="E143" s="0" t="s">
        <v>3555</v>
      </c>
      <c r="F143" s="0" t="s">
        <v>3206</v>
      </c>
      <c r="G143" s="0" t="s">
        <v>3565</v>
      </c>
    </row>
    <row customHeight="1" ht="11.25">
      <c r="A144" s="0" t="s">
        <v>14</v>
      </c>
      <c r="B144" s="0" t="s">
        <v>3554</v>
      </c>
      <c r="C144" s="0" t="s">
        <v>3555</v>
      </c>
      <c r="D144" s="0" t="s">
        <v>3566</v>
      </c>
      <c r="E144" s="0" t="s">
        <v>3567</v>
      </c>
      <c r="F144" s="0" t="s">
        <v>3209</v>
      </c>
      <c r="G144" s="0" t="s">
        <v>3568</v>
      </c>
    </row>
    <row customHeight="1" ht="11.25">
      <c r="A145" s="0" t="s">
        <v>14</v>
      </c>
      <c r="B145" s="0" t="s">
        <v>3554</v>
      </c>
      <c r="C145" s="0" t="s">
        <v>3555</v>
      </c>
      <c r="D145" s="0" t="s">
        <v>3569</v>
      </c>
      <c r="E145" s="0" t="s">
        <v>3570</v>
      </c>
      <c r="F145" s="0" t="s">
        <v>3209</v>
      </c>
      <c r="G145" s="0" t="s">
        <v>3571</v>
      </c>
    </row>
    <row customHeight="1" ht="11.25">
      <c r="A146" s="0" t="s">
        <v>14</v>
      </c>
      <c r="B146" s="0" t="s">
        <v>3554</v>
      </c>
      <c r="C146" s="0" t="s">
        <v>3555</v>
      </c>
      <c r="D146" s="0" t="s">
        <v>3572</v>
      </c>
      <c r="E146" s="0" t="s">
        <v>3573</v>
      </c>
      <c r="F146" s="0" t="s">
        <v>3209</v>
      </c>
      <c r="G146" s="0" t="s">
        <v>3574</v>
      </c>
    </row>
    <row customHeight="1" ht="11.25">
      <c r="A147" s="0" t="s">
        <v>14</v>
      </c>
      <c r="B147" s="0" t="s">
        <v>3554</v>
      </c>
      <c r="C147" s="0" t="s">
        <v>3555</v>
      </c>
      <c r="D147" s="0" t="s">
        <v>3575</v>
      </c>
      <c r="E147" s="0" t="s">
        <v>3576</v>
      </c>
      <c r="F147" s="0" t="s">
        <v>3209</v>
      </c>
      <c r="G147" s="0" t="s">
        <v>3577</v>
      </c>
    </row>
    <row customHeight="1" ht="11.25">
      <c r="A148" s="0" t="s">
        <v>14</v>
      </c>
      <c r="B148" s="0" t="s">
        <v>3554</v>
      </c>
      <c r="C148" s="0" t="s">
        <v>3555</v>
      </c>
      <c r="D148" s="0" t="s">
        <v>3257</v>
      </c>
      <c r="E148" s="0" t="s">
        <v>3578</v>
      </c>
      <c r="F148" s="0" t="s">
        <v>3209</v>
      </c>
      <c r="G148" s="0" t="s">
        <v>3579</v>
      </c>
    </row>
    <row customHeight="1" ht="11.25">
      <c r="A149" s="0" t="s">
        <v>14</v>
      </c>
      <c r="B149" s="0" t="s">
        <v>3554</v>
      </c>
      <c r="C149" s="0" t="s">
        <v>3555</v>
      </c>
      <c r="D149" s="0" t="s">
        <v>3580</v>
      </c>
      <c r="E149" s="0" t="s">
        <v>3581</v>
      </c>
      <c r="F149" s="0" t="s">
        <v>3209</v>
      </c>
      <c r="G149" s="0" t="s">
        <v>3582</v>
      </c>
    </row>
    <row customHeight="1" ht="11.25">
      <c r="A150" s="0" t="s">
        <v>14</v>
      </c>
      <c r="B150" s="0" t="s">
        <v>3554</v>
      </c>
      <c r="C150" s="0" t="s">
        <v>3555</v>
      </c>
      <c r="D150" s="0" t="s">
        <v>3583</v>
      </c>
      <c r="E150" s="0" t="s">
        <v>3584</v>
      </c>
      <c r="F150" s="0" t="s">
        <v>3209</v>
      </c>
      <c r="G150" s="0" t="s">
        <v>3585</v>
      </c>
    </row>
    <row customHeight="1" ht="11.25">
      <c r="A151" s="0" t="s">
        <v>14</v>
      </c>
      <c r="B151" s="0" t="s">
        <v>3554</v>
      </c>
      <c r="C151" s="0" t="s">
        <v>3555</v>
      </c>
      <c r="D151" s="0" t="s">
        <v>3586</v>
      </c>
      <c r="E151" s="0" t="s">
        <v>3587</v>
      </c>
      <c r="F151" s="0" t="s">
        <v>3209</v>
      </c>
      <c r="G151" s="0" t="s">
        <v>3588</v>
      </c>
    </row>
    <row customHeight="1" ht="11.25">
      <c r="A152" s="0" t="s">
        <v>14</v>
      </c>
      <c r="B152" s="0" t="s">
        <v>3589</v>
      </c>
      <c r="C152" s="0" t="s">
        <v>3590</v>
      </c>
      <c r="D152" s="0" t="s">
        <v>3591</v>
      </c>
      <c r="E152" s="0" t="s">
        <v>3592</v>
      </c>
      <c r="F152" s="0" t="s">
        <v>3209</v>
      </c>
      <c r="G152" s="0" t="s">
        <v>3593</v>
      </c>
    </row>
    <row customHeight="1" ht="11.25">
      <c r="A153" s="0" t="s">
        <v>14</v>
      </c>
      <c r="B153" s="0" t="s">
        <v>3589</v>
      </c>
      <c r="C153" s="0" t="s">
        <v>3590</v>
      </c>
      <c r="D153" s="0" t="s">
        <v>3589</v>
      </c>
      <c r="E153" s="0" t="s">
        <v>3590</v>
      </c>
      <c r="F153" s="0" t="s">
        <v>3206</v>
      </c>
      <c r="G153" s="0" t="s">
        <v>3594</v>
      </c>
    </row>
    <row customHeight="1" ht="11.25">
      <c r="A154" s="0" t="s">
        <v>14</v>
      </c>
      <c r="B154" s="0" t="s">
        <v>3589</v>
      </c>
      <c r="C154" s="0" t="s">
        <v>3590</v>
      </c>
      <c r="D154" s="0" t="s">
        <v>3216</v>
      </c>
      <c r="E154" s="0" t="s">
        <v>3595</v>
      </c>
      <c r="F154" s="0" t="s">
        <v>3209</v>
      </c>
      <c r="G154" s="0" t="s">
        <v>3596</v>
      </c>
    </row>
    <row customHeight="1" ht="11.25">
      <c r="A155" s="0" t="s">
        <v>14</v>
      </c>
      <c r="B155" s="0" t="s">
        <v>3589</v>
      </c>
      <c r="C155" s="0" t="s">
        <v>3590</v>
      </c>
      <c r="D155" s="0" t="s">
        <v>3597</v>
      </c>
      <c r="E155" s="0" t="s">
        <v>3598</v>
      </c>
      <c r="F155" s="0" t="s">
        <v>3209</v>
      </c>
      <c r="G155" s="0" t="s">
        <v>3599</v>
      </c>
    </row>
    <row customHeight="1" ht="11.25">
      <c r="A156" s="0" t="s">
        <v>14</v>
      </c>
      <c r="B156" s="0" t="s">
        <v>3589</v>
      </c>
      <c r="C156" s="0" t="s">
        <v>3590</v>
      </c>
      <c r="D156" s="0" t="s">
        <v>3572</v>
      </c>
      <c r="E156" s="0" t="s">
        <v>3600</v>
      </c>
      <c r="F156" s="0" t="s">
        <v>3209</v>
      </c>
      <c r="G156" s="0" t="s">
        <v>3601</v>
      </c>
    </row>
    <row customHeight="1" ht="11.25">
      <c r="A157" s="0" t="s">
        <v>14</v>
      </c>
      <c r="B157" s="0" t="s">
        <v>3589</v>
      </c>
      <c r="C157" s="0" t="s">
        <v>3590</v>
      </c>
      <c r="D157" s="0" t="s">
        <v>3602</v>
      </c>
      <c r="E157" s="0" t="s">
        <v>3603</v>
      </c>
      <c r="F157" s="0" t="s">
        <v>3209</v>
      </c>
      <c r="G157" s="0" t="s">
        <v>3604</v>
      </c>
    </row>
    <row customHeight="1" ht="11.25">
      <c r="A158" s="0" t="s">
        <v>14</v>
      </c>
      <c r="B158" s="0" t="s">
        <v>3589</v>
      </c>
      <c r="C158" s="0" t="s">
        <v>3590</v>
      </c>
      <c r="D158" s="0" t="s">
        <v>3605</v>
      </c>
      <c r="E158" s="0" t="s">
        <v>3606</v>
      </c>
      <c r="F158" s="0" t="s">
        <v>3209</v>
      </c>
      <c r="G158" s="0" t="s">
        <v>3607</v>
      </c>
    </row>
    <row customHeight="1" ht="11.25">
      <c r="A159" s="0" t="s">
        <v>14</v>
      </c>
      <c r="B159" s="0" t="s">
        <v>3589</v>
      </c>
      <c r="C159" s="0" t="s">
        <v>3590</v>
      </c>
      <c r="D159" s="0" t="s">
        <v>3608</v>
      </c>
      <c r="E159" s="0" t="s">
        <v>3609</v>
      </c>
      <c r="F159" s="0" t="s">
        <v>3209</v>
      </c>
      <c r="G159" s="0" t="s">
        <v>3610</v>
      </c>
    </row>
    <row customHeight="1" ht="11.25">
      <c r="A160" s="0" t="s">
        <v>14</v>
      </c>
      <c r="B160" s="0" t="s">
        <v>3589</v>
      </c>
      <c r="C160" s="0" t="s">
        <v>3590</v>
      </c>
      <c r="D160" s="0" t="s">
        <v>3611</v>
      </c>
      <c r="E160" s="0" t="s">
        <v>3612</v>
      </c>
      <c r="F160" s="0" t="s">
        <v>3209</v>
      </c>
      <c r="G160" s="0" t="s">
        <v>3613</v>
      </c>
    </row>
    <row customHeight="1" ht="11.25">
      <c r="A161" s="0" t="s">
        <v>14</v>
      </c>
      <c r="B161" s="0" t="s">
        <v>3614</v>
      </c>
      <c r="C161" s="0" t="s">
        <v>3615</v>
      </c>
      <c r="D161" s="0" t="s">
        <v>3616</v>
      </c>
      <c r="E161" s="0" t="s">
        <v>3617</v>
      </c>
      <c r="F161" s="0" t="s">
        <v>3209</v>
      </c>
      <c r="G161" s="0" t="s">
        <v>3618</v>
      </c>
    </row>
    <row customHeight="1" ht="11.25">
      <c r="A162" s="0" t="s">
        <v>14</v>
      </c>
      <c r="B162" s="0" t="s">
        <v>3614</v>
      </c>
      <c r="C162" s="0" t="s">
        <v>3615</v>
      </c>
      <c r="D162" s="0" t="s">
        <v>3619</v>
      </c>
      <c r="E162" s="0" t="s">
        <v>3620</v>
      </c>
      <c r="F162" s="0" t="s">
        <v>3209</v>
      </c>
      <c r="G162" s="0" t="s">
        <v>3621</v>
      </c>
    </row>
    <row customHeight="1" ht="11.25">
      <c r="A163" s="0" t="s">
        <v>14</v>
      </c>
      <c r="B163" s="0" t="s">
        <v>3614</v>
      </c>
      <c r="C163" s="0" t="s">
        <v>3615</v>
      </c>
      <c r="D163" s="0" t="s">
        <v>3622</v>
      </c>
      <c r="E163" s="0" t="s">
        <v>3623</v>
      </c>
      <c r="F163" s="0" t="s">
        <v>3209</v>
      </c>
      <c r="G163" s="0" t="s">
        <v>3624</v>
      </c>
    </row>
    <row customHeight="1" ht="11.25">
      <c r="A164" s="0" t="s">
        <v>14</v>
      </c>
      <c r="B164" s="0" t="s">
        <v>3614</v>
      </c>
      <c r="C164" s="0" t="s">
        <v>3615</v>
      </c>
      <c r="D164" s="0" t="s">
        <v>3625</v>
      </c>
      <c r="E164" s="0" t="s">
        <v>3626</v>
      </c>
      <c r="F164" s="0" t="s">
        <v>3627</v>
      </c>
      <c r="G164" s="0" t="s">
        <v>3628</v>
      </c>
    </row>
    <row customHeight="1" ht="11.25">
      <c r="A165" s="0" t="s">
        <v>14</v>
      </c>
      <c r="B165" s="0" t="s">
        <v>3614</v>
      </c>
      <c r="C165" s="0" t="s">
        <v>3615</v>
      </c>
      <c r="D165" s="0" t="s">
        <v>3629</v>
      </c>
      <c r="E165" s="0" t="s">
        <v>3630</v>
      </c>
      <c r="F165" s="0" t="s">
        <v>3209</v>
      </c>
      <c r="G165" s="0" t="s">
        <v>3631</v>
      </c>
    </row>
    <row customHeight="1" ht="11.25">
      <c r="A166" s="0" t="s">
        <v>14</v>
      </c>
      <c r="B166" s="0" t="s">
        <v>3614</v>
      </c>
      <c r="C166" s="0" t="s">
        <v>3615</v>
      </c>
      <c r="D166" s="0" t="s">
        <v>3632</v>
      </c>
      <c r="E166" s="0" t="s">
        <v>3633</v>
      </c>
      <c r="F166" s="0" t="s">
        <v>3209</v>
      </c>
      <c r="G166" s="0" t="s">
        <v>3634</v>
      </c>
    </row>
    <row customHeight="1" ht="11.25">
      <c r="A167" s="0" t="s">
        <v>14</v>
      </c>
      <c r="B167" s="0" t="s">
        <v>3614</v>
      </c>
      <c r="C167" s="0" t="s">
        <v>3615</v>
      </c>
      <c r="D167" s="0" t="s">
        <v>3635</v>
      </c>
      <c r="E167" s="0" t="s">
        <v>3636</v>
      </c>
      <c r="F167" s="0" t="s">
        <v>3209</v>
      </c>
      <c r="G167" s="0" t="s">
        <v>3637</v>
      </c>
    </row>
    <row customHeight="1" ht="11.25">
      <c r="A168" s="0" t="s">
        <v>14</v>
      </c>
      <c r="B168" s="0" t="s">
        <v>3614</v>
      </c>
      <c r="C168" s="0" t="s">
        <v>3615</v>
      </c>
      <c r="D168" s="0" t="s">
        <v>3614</v>
      </c>
      <c r="E168" s="0" t="s">
        <v>3615</v>
      </c>
      <c r="F168" s="0" t="s">
        <v>3206</v>
      </c>
      <c r="G168" s="0" t="s">
        <v>3638</v>
      </c>
    </row>
    <row customHeight="1" ht="11.25">
      <c r="A169" s="0" t="s">
        <v>14</v>
      </c>
      <c r="B169" s="0" t="s">
        <v>3614</v>
      </c>
      <c r="C169" s="0" t="s">
        <v>3615</v>
      </c>
      <c r="D169" s="0" t="s">
        <v>3639</v>
      </c>
      <c r="E169" s="0" t="s">
        <v>3640</v>
      </c>
      <c r="F169" s="0" t="s">
        <v>3209</v>
      </c>
      <c r="G169" s="0" t="s">
        <v>3641</v>
      </c>
    </row>
    <row customHeight="1" ht="11.25">
      <c r="A170" s="0" t="s">
        <v>14</v>
      </c>
      <c r="B170" s="0" t="s">
        <v>3614</v>
      </c>
      <c r="C170" s="0" t="s">
        <v>3615</v>
      </c>
      <c r="D170" s="0" t="s">
        <v>3642</v>
      </c>
      <c r="E170" s="0" t="s">
        <v>3643</v>
      </c>
      <c r="F170" s="0" t="s">
        <v>3209</v>
      </c>
      <c r="G170" s="0" t="s">
        <v>3644</v>
      </c>
    </row>
    <row customHeight="1" ht="11.25">
      <c r="A171" s="0" t="s">
        <v>14</v>
      </c>
      <c r="B171" s="0" t="s">
        <v>3614</v>
      </c>
      <c r="C171" s="0" t="s">
        <v>3615</v>
      </c>
      <c r="D171" s="0" t="s">
        <v>3645</v>
      </c>
      <c r="E171" s="0" t="s">
        <v>3646</v>
      </c>
      <c r="F171" s="0" t="s">
        <v>3209</v>
      </c>
      <c r="G171" s="0" t="s">
        <v>3647</v>
      </c>
    </row>
    <row customHeight="1" ht="11.25">
      <c r="A172" s="0" t="s">
        <v>14</v>
      </c>
      <c r="B172" s="0" t="s">
        <v>3614</v>
      </c>
      <c r="C172" s="0" t="s">
        <v>3615</v>
      </c>
      <c r="D172" s="0" t="s">
        <v>3648</v>
      </c>
      <c r="E172" s="0" t="s">
        <v>3649</v>
      </c>
      <c r="F172" s="0" t="s">
        <v>3209</v>
      </c>
      <c r="G172" s="0" t="s">
        <v>3650</v>
      </c>
    </row>
    <row customHeight="1" ht="11.25">
      <c r="A173" s="0" t="s">
        <v>14</v>
      </c>
      <c r="B173" s="0" t="s">
        <v>3614</v>
      </c>
      <c r="C173" s="0" t="s">
        <v>3615</v>
      </c>
      <c r="D173" s="0" t="s">
        <v>3651</v>
      </c>
      <c r="E173" s="0" t="s">
        <v>3652</v>
      </c>
      <c r="F173" s="0" t="s">
        <v>3209</v>
      </c>
      <c r="G173" s="0" t="s">
        <v>3653</v>
      </c>
    </row>
    <row customHeight="1" ht="11.25">
      <c r="A174" s="0" t="s">
        <v>14</v>
      </c>
      <c r="B174" s="0" t="s">
        <v>3654</v>
      </c>
      <c r="C174" s="0" t="s">
        <v>3655</v>
      </c>
      <c r="D174" s="0" t="s">
        <v>3656</v>
      </c>
      <c r="E174" s="0" t="s">
        <v>3657</v>
      </c>
      <c r="F174" s="0" t="s">
        <v>3209</v>
      </c>
      <c r="G174" s="0" t="s">
        <v>3658</v>
      </c>
    </row>
    <row customHeight="1" ht="11.25">
      <c r="A175" s="0" t="s">
        <v>14</v>
      </c>
      <c r="B175" s="0" t="s">
        <v>3654</v>
      </c>
      <c r="C175" s="0" t="s">
        <v>3655</v>
      </c>
      <c r="D175" s="0" t="s">
        <v>3659</v>
      </c>
      <c r="E175" s="0" t="s">
        <v>3660</v>
      </c>
      <c r="F175" s="0" t="s">
        <v>3209</v>
      </c>
      <c r="G175" s="0" t="s">
        <v>3661</v>
      </c>
    </row>
    <row customHeight="1" ht="11.25">
      <c r="A176" s="0" t="s">
        <v>14</v>
      </c>
      <c r="B176" s="0" t="s">
        <v>3654</v>
      </c>
      <c r="C176" s="0" t="s">
        <v>3655</v>
      </c>
      <c r="D176" s="0" t="s">
        <v>3662</v>
      </c>
      <c r="E176" s="0" t="s">
        <v>3663</v>
      </c>
      <c r="F176" s="0" t="s">
        <v>3209</v>
      </c>
      <c r="G176" s="0" t="s">
        <v>3664</v>
      </c>
    </row>
    <row customHeight="1" ht="11.25">
      <c r="A177" s="0" t="s">
        <v>14</v>
      </c>
      <c r="B177" s="0" t="s">
        <v>3654</v>
      </c>
      <c r="C177" s="0" t="s">
        <v>3655</v>
      </c>
      <c r="D177" s="0" t="s">
        <v>3665</v>
      </c>
      <c r="E177" s="0" t="s">
        <v>3666</v>
      </c>
      <c r="F177" s="0" t="s">
        <v>3209</v>
      </c>
      <c r="G177" s="0" t="s">
        <v>3667</v>
      </c>
    </row>
    <row customHeight="1" ht="11.25">
      <c r="A178" s="0" t="s">
        <v>14</v>
      </c>
      <c r="B178" s="0" t="s">
        <v>3654</v>
      </c>
      <c r="C178" s="0" t="s">
        <v>3655</v>
      </c>
      <c r="D178" s="0" t="s">
        <v>3654</v>
      </c>
      <c r="E178" s="0" t="s">
        <v>3655</v>
      </c>
      <c r="F178" s="0" t="s">
        <v>3206</v>
      </c>
      <c r="G178" s="0" t="s">
        <v>3668</v>
      </c>
    </row>
    <row customHeight="1" ht="11.25">
      <c r="A179" s="0" t="s">
        <v>14</v>
      </c>
      <c r="B179" s="0" t="s">
        <v>3654</v>
      </c>
      <c r="C179" s="0" t="s">
        <v>3655</v>
      </c>
      <c r="D179" s="0" t="s">
        <v>3669</v>
      </c>
      <c r="E179" s="0" t="s">
        <v>3670</v>
      </c>
      <c r="F179" s="0" t="s">
        <v>3209</v>
      </c>
      <c r="G179" s="0" t="s">
        <v>3671</v>
      </c>
    </row>
    <row customHeight="1" ht="11.25">
      <c r="A180" s="0" t="s">
        <v>14</v>
      </c>
      <c r="B180" s="0" t="s">
        <v>3654</v>
      </c>
      <c r="C180" s="0" t="s">
        <v>3655</v>
      </c>
      <c r="D180" s="0" t="s">
        <v>3672</v>
      </c>
      <c r="E180" s="0" t="s">
        <v>3673</v>
      </c>
      <c r="F180" s="0" t="s">
        <v>3209</v>
      </c>
      <c r="G180" s="0" t="s">
        <v>3674</v>
      </c>
    </row>
    <row customHeight="1" ht="11.25">
      <c r="A181" s="0" t="s">
        <v>14</v>
      </c>
      <c r="B181" s="0" t="s">
        <v>3654</v>
      </c>
      <c r="C181" s="0" t="s">
        <v>3655</v>
      </c>
      <c r="D181" s="0" t="s">
        <v>3675</v>
      </c>
      <c r="E181" s="0" t="s">
        <v>3676</v>
      </c>
      <c r="F181" s="0" t="s">
        <v>3209</v>
      </c>
      <c r="G181" s="0" t="s">
        <v>3677</v>
      </c>
    </row>
    <row customHeight="1" ht="11.25">
      <c r="A182" s="0" t="s">
        <v>14</v>
      </c>
      <c r="B182" s="0" t="s">
        <v>3654</v>
      </c>
      <c r="C182" s="0" t="s">
        <v>3655</v>
      </c>
      <c r="D182" s="0" t="s">
        <v>3678</v>
      </c>
      <c r="E182" s="0" t="s">
        <v>3679</v>
      </c>
      <c r="F182" s="0" t="s">
        <v>3209</v>
      </c>
      <c r="G182" s="0" t="s">
        <v>3680</v>
      </c>
    </row>
    <row customHeight="1" ht="11.25">
      <c r="A183" s="0" t="s">
        <v>14</v>
      </c>
      <c r="B183" s="0" t="s">
        <v>3654</v>
      </c>
      <c r="C183" s="0" t="s">
        <v>3655</v>
      </c>
      <c r="D183" s="0" t="s">
        <v>3681</v>
      </c>
      <c r="E183" s="0" t="s">
        <v>3682</v>
      </c>
      <c r="F183" s="0" t="s">
        <v>3209</v>
      </c>
      <c r="G183" s="0" t="s">
        <v>3683</v>
      </c>
    </row>
    <row customHeight="1" ht="11.25">
      <c r="A184" s="0" t="s">
        <v>14</v>
      </c>
      <c r="B184" s="0" t="s">
        <v>3654</v>
      </c>
      <c r="C184" s="0" t="s">
        <v>3655</v>
      </c>
      <c r="D184" s="0" t="s">
        <v>3684</v>
      </c>
      <c r="E184" s="0" t="s">
        <v>3685</v>
      </c>
      <c r="F184" s="0" t="s">
        <v>3209</v>
      </c>
      <c r="G184" s="0" t="s">
        <v>3686</v>
      </c>
    </row>
    <row customHeight="1" ht="11.25">
      <c r="A185" s="0" t="s">
        <v>14</v>
      </c>
      <c r="B185" s="0" t="s">
        <v>3687</v>
      </c>
      <c r="C185" s="0" t="s">
        <v>3688</v>
      </c>
      <c r="D185" s="0" t="s">
        <v>3689</v>
      </c>
      <c r="E185" s="0" t="s">
        <v>3690</v>
      </c>
      <c r="F185" s="0" t="s">
        <v>3209</v>
      </c>
      <c r="G185" s="0" t="s">
        <v>3691</v>
      </c>
    </row>
    <row customHeight="1" ht="11.25">
      <c r="A186" s="0" t="s">
        <v>14</v>
      </c>
      <c r="B186" s="0" t="s">
        <v>3687</v>
      </c>
      <c r="C186" s="0" t="s">
        <v>3688</v>
      </c>
      <c r="D186" s="0" t="s">
        <v>3692</v>
      </c>
      <c r="E186" s="0" t="s">
        <v>3693</v>
      </c>
      <c r="F186" s="0" t="s">
        <v>3209</v>
      </c>
      <c r="G186" s="0" t="s">
        <v>3694</v>
      </c>
    </row>
    <row customHeight="1" ht="11.25">
      <c r="A187" s="0" t="s">
        <v>14</v>
      </c>
      <c r="B187" s="0" t="s">
        <v>3687</v>
      </c>
      <c r="C187" s="0" t="s">
        <v>3688</v>
      </c>
      <c r="D187" s="0" t="s">
        <v>3695</v>
      </c>
      <c r="E187" s="0" t="s">
        <v>3696</v>
      </c>
      <c r="F187" s="0" t="s">
        <v>3209</v>
      </c>
      <c r="G187" s="0" t="s">
        <v>3697</v>
      </c>
    </row>
    <row customHeight="1" ht="11.25">
      <c r="A188" s="0" t="s">
        <v>14</v>
      </c>
      <c r="B188" s="0" t="s">
        <v>3687</v>
      </c>
      <c r="C188" s="0" t="s">
        <v>3688</v>
      </c>
      <c r="D188" s="0" t="s">
        <v>3687</v>
      </c>
      <c r="E188" s="0" t="s">
        <v>3688</v>
      </c>
      <c r="F188" s="0" t="s">
        <v>3206</v>
      </c>
      <c r="G188" s="0" t="s">
        <v>3698</v>
      </c>
    </row>
    <row customHeight="1" ht="11.25">
      <c r="A189" s="0" t="s">
        <v>14</v>
      </c>
      <c r="B189" s="0" t="s">
        <v>3687</v>
      </c>
      <c r="C189" s="0" t="s">
        <v>3688</v>
      </c>
      <c r="D189" s="0" t="s">
        <v>3699</v>
      </c>
      <c r="E189" s="0" t="s">
        <v>3700</v>
      </c>
      <c r="F189" s="0" t="s">
        <v>3248</v>
      </c>
      <c r="G189" s="0" t="s">
        <v>3701</v>
      </c>
    </row>
    <row customHeight="1" ht="11.25">
      <c r="A190" s="0" t="s">
        <v>14</v>
      </c>
      <c r="B190" s="0" t="s">
        <v>3687</v>
      </c>
      <c r="C190" s="0" t="s">
        <v>3688</v>
      </c>
      <c r="D190" s="0" t="s">
        <v>3702</v>
      </c>
      <c r="E190" s="0" t="s">
        <v>3703</v>
      </c>
      <c r="F190" s="0" t="s">
        <v>3209</v>
      </c>
      <c r="G190" s="0" t="s">
        <v>3704</v>
      </c>
    </row>
    <row customHeight="1" ht="11.25">
      <c r="A191" s="0" t="s">
        <v>14</v>
      </c>
      <c r="B191" s="0" t="s">
        <v>3687</v>
      </c>
      <c r="C191" s="0" t="s">
        <v>3688</v>
      </c>
      <c r="D191" s="0" t="s">
        <v>3705</v>
      </c>
      <c r="E191" s="0" t="s">
        <v>3706</v>
      </c>
      <c r="F191" s="0" t="s">
        <v>3209</v>
      </c>
      <c r="G191" s="0" t="s">
        <v>3707</v>
      </c>
    </row>
    <row customHeight="1" ht="11.25">
      <c r="A192" s="0" t="s">
        <v>14</v>
      </c>
      <c r="B192" s="0" t="s">
        <v>3687</v>
      </c>
      <c r="C192" s="0" t="s">
        <v>3688</v>
      </c>
      <c r="D192" s="0" t="s">
        <v>3708</v>
      </c>
      <c r="E192" s="0" t="s">
        <v>3709</v>
      </c>
      <c r="F192" s="0" t="s">
        <v>3209</v>
      </c>
      <c r="G192" s="0" t="s">
        <v>3710</v>
      </c>
    </row>
    <row customHeight="1" ht="11.25">
      <c r="A193" s="0" t="s">
        <v>14</v>
      </c>
      <c r="B193" s="0" t="s">
        <v>3711</v>
      </c>
      <c r="C193" s="0" t="s">
        <v>3712</v>
      </c>
      <c r="D193" s="0" t="s">
        <v>3713</v>
      </c>
      <c r="E193" s="0" t="s">
        <v>3714</v>
      </c>
      <c r="F193" s="0" t="s">
        <v>3209</v>
      </c>
      <c r="G193" s="0" t="s">
        <v>3715</v>
      </c>
    </row>
    <row customHeight="1" ht="11.25">
      <c r="A194" s="0" t="s">
        <v>14</v>
      </c>
      <c r="B194" s="0" t="s">
        <v>3711</v>
      </c>
      <c r="C194" s="0" t="s">
        <v>3712</v>
      </c>
      <c r="D194" s="0" t="s">
        <v>3716</v>
      </c>
      <c r="E194" s="0" t="s">
        <v>3717</v>
      </c>
      <c r="F194" s="0" t="s">
        <v>3209</v>
      </c>
      <c r="G194" s="0" t="s">
        <v>3718</v>
      </c>
    </row>
    <row customHeight="1" ht="11.25">
      <c r="A195" s="0" t="s">
        <v>14</v>
      </c>
      <c r="B195" s="0" t="s">
        <v>3711</v>
      </c>
      <c r="C195" s="0" t="s">
        <v>3712</v>
      </c>
      <c r="D195" s="0" t="s">
        <v>3719</v>
      </c>
      <c r="E195" s="0" t="s">
        <v>3720</v>
      </c>
      <c r="F195" s="0" t="s">
        <v>3248</v>
      </c>
      <c r="G195" s="0" t="s">
        <v>3721</v>
      </c>
    </row>
    <row customHeight="1" ht="11.25">
      <c r="A196" s="0" t="s">
        <v>14</v>
      </c>
      <c r="B196" s="0" t="s">
        <v>3711</v>
      </c>
      <c r="C196" s="0" t="s">
        <v>3712</v>
      </c>
      <c r="D196" s="0" t="s">
        <v>3722</v>
      </c>
      <c r="E196" s="0" t="s">
        <v>3723</v>
      </c>
      <c r="F196" s="0" t="s">
        <v>3209</v>
      </c>
      <c r="G196" s="0" t="s">
        <v>3724</v>
      </c>
    </row>
    <row customHeight="1" ht="11.25">
      <c r="A197" s="0" t="s">
        <v>14</v>
      </c>
      <c r="B197" s="0" t="s">
        <v>3711</v>
      </c>
      <c r="C197" s="0" t="s">
        <v>3712</v>
      </c>
      <c r="D197" s="0" t="s">
        <v>3725</v>
      </c>
      <c r="E197" s="0" t="s">
        <v>3726</v>
      </c>
      <c r="F197" s="0" t="s">
        <v>3209</v>
      </c>
      <c r="G197" s="0" t="s">
        <v>3727</v>
      </c>
    </row>
    <row customHeight="1" ht="11.25">
      <c r="A198" s="0" t="s">
        <v>14</v>
      </c>
      <c r="B198" s="0" t="s">
        <v>3711</v>
      </c>
      <c r="C198" s="0" t="s">
        <v>3712</v>
      </c>
      <c r="D198" s="0" t="s">
        <v>3501</v>
      </c>
      <c r="E198" s="0" t="s">
        <v>3728</v>
      </c>
      <c r="F198" s="0" t="s">
        <v>3209</v>
      </c>
      <c r="G198" s="0" t="s">
        <v>3729</v>
      </c>
    </row>
    <row customHeight="1" ht="11.25">
      <c r="A199" s="0" t="s">
        <v>14</v>
      </c>
      <c r="B199" s="0" t="s">
        <v>3711</v>
      </c>
      <c r="C199" s="0" t="s">
        <v>3712</v>
      </c>
      <c r="D199" s="0" t="s">
        <v>3730</v>
      </c>
      <c r="E199" s="0" t="s">
        <v>3731</v>
      </c>
      <c r="F199" s="0" t="s">
        <v>3209</v>
      </c>
      <c r="G199" s="0" t="s">
        <v>3732</v>
      </c>
    </row>
    <row customHeight="1" ht="11.25">
      <c r="A200" s="0" t="s">
        <v>14</v>
      </c>
      <c r="B200" s="0" t="s">
        <v>3711</v>
      </c>
      <c r="C200" s="0" t="s">
        <v>3712</v>
      </c>
      <c r="D200" s="0" t="s">
        <v>3449</v>
      </c>
      <c r="E200" s="0" t="s">
        <v>3733</v>
      </c>
      <c r="F200" s="0" t="s">
        <v>3209</v>
      </c>
      <c r="G200" s="0" t="s">
        <v>3734</v>
      </c>
    </row>
    <row customHeight="1" ht="11.25">
      <c r="A201" s="0" t="s">
        <v>14</v>
      </c>
      <c r="B201" s="0" t="s">
        <v>3711</v>
      </c>
      <c r="C201" s="0" t="s">
        <v>3712</v>
      </c>
      <c r="D201" s="0" t="s">
        <v>3711</v>
      </c>
      <c r="E201" s="0" t="s">
        <v>3712</v>
      </c>
      <c r="F201" s="0" t="s">
        <v>3206</v>
      </c>
      <c r="G201" s="0" t="s">
        <v>3735</v>
      </c>
    </row>
    <row customHeight="1" ht="11.25">
      <c r="A202" s="0" t="s">
        <v>14</v>
      </c>
      <c r="B202" s="0" t="s">
        <v>3711</v>
      </c>
      <c r="C202" s="0" t="s">
        <v>3712</v>
      </c>
      <c r="D202" s="0" t="s">
        <v>3736</v>
      </c>
      <c r="E202" s="0" t="s">
        <v>3737</v>
      </c>
      <c r="F202" s="0" t="s">
        <v>3248</v>
      </c>
      <c r="G202" s="0" t="s">
        <v>3738</v>
      </c>
    </row>
    <row customHeight="1" ht="11.25">
      <c r="A203" s="0" t="s">
        <v>14</v>
      </c>
      <c r="B203" s="0" t="s">
        <v>3711</v>
      </c>
      <c r="C203" s="0" t="s">
        <v>3712</v>
      </c>
      <c r="D203" s="0" t="s">
        <v>3739</v>
      </c>
      <c r="E203" s="0" t="s">
        <v>3740</v>
      </c>
      <c r="F203" s="0" t="s">
        <v>3209</v>
      </c>
      <c r="G203" s="0" t="s">
        <v>3741</v>
      </c>
    </row>
    <row customHeight="1" ht="11.25">
      <c r="A204" s="0" t="s">
        <v>14</v>
      </c>
      <c r="B204" s="0" t="s">
        <v>3711</v>
      </c>
      <c r="C204" s="0" t="s">
        <v>3712</v>
      </c>
      <c r="D204" s="0" t="s">
        <v>3742</v>
      </c>
      <c r="E204" s="0" t="s">
        <v>3743</v>
      </c>
      <c r="F204" s="0" t="s">
        <v>3209</v>
      </c>
      <c r="G204" s="0" t="s">
        <v>3744</v>
      </c>
    </row>
    <row customHeight="1" ht="11.25">
      <c r="A205" s="0" t="s">
        <v>14</v>
      </c>
      <c r="B205" s="0" t="s">
        <v>3711</v>
      </c>
      <c r="C205" s="0" t="s">
        <v>3712</v>
      </c>
      <c r="D205" s="0" t="s">
        <v>3745</v>
      </c>
      <c r="E205" s="0" t="s">
        <v>3746</v>
      </c>
      <c r="F205" s="0" t="s">
        <v>3209</v>
      </c>
      <c r="G205" s="0" t="s">
        <v>3747</v>
      </c>
    </row>
    <row customHeight="1" ht="11.25">
      <c r="A206" s="0" t="s">
        <v>14</v>
      </c>
      <c r="B206" s="0" t="s">
        <v>3711</v>
      </c>
      <c r="C206" s="0" t="s">
        <v>3712</v>
      </c>
      <c r="D206" s="0" t="s">
        <v>3748</v>
      </c>
      <c r="E206" s="0" t="s">
        <v>3749</v>
      </c>
      <c r="F206" s="0" t="s">
        <v>3209</v>
      </c>
      <c r="G206" s="0" t="s">
        <v>3750</v>
      </c>
    </row>
    <row customHeight="1" ht="11.25">
      <c r="A207" s="0" t="s">
        <v>14</v>
      </c>
      <c r="B207" s="0" t="s">
        <v>3711</v>
      </c>
      <c r="C207" s="0" t="s">
        <v>3712</v>
      </c>
      <c r="D207" s="0" t="s">
        <v>3751</v>
      </c>
      <c r="E207" s="0" t="s">
        <v>3752</v>
      </c>
      <c r="F207" s="0" t="s">
        <v>3627</v>
      </c>
      <c r="G207" s="0" t="s">
        <v>3753</v>
      </c>
    </row>
    <row customHeight="1" ht="11.25">
      <c r="A208" s="0" t="s">
        <v>14</v>
      </c>
      <c r="B208" s="0" t="s">
        <v>3711</v>
      </c>
      <c r="C208" s="0" t="s">
        <v>3712</v>
      </c>
      <c r="D208" s="0" t="s">
        <v>3754</v>
      </c>
      <c r="E208" s="0" t="s">
        <v>3755</v>
      </c>
      <c r="F208" s="0" t="s">
        <v>3209</v>
      </c>
      <c r="G208" s="0" t="s">
        <v>3756</v>
      </c>
    </row>
    <row customHeight="1" ht="11.25">
      <c r="A209" s="0" t="s">
        <v>14</v>
      </c>
      <c r="B209" s="0" t="s">
        <v>3757</v>
      </c>
      <c r="C209" s="0" t="s">
        <v>3758</v>
      </c>
      <c r="D209" s="0" t="s">
        <v>3759</v>
      </c>
      <c r="E209" s="0" t="s">
        <v>3760</v>
      </c>
      <c r="F209" s="0" t="s">
        <v>3209</v>
      </c>
      <c r="G209" s="0" t="s">
        <v>3761</v>
      </c>
    </row>
    <row customHeight="1" ht="11.25">
      <c r="A210" s="0" t="s">
        <v>14</v>
      </c>
      <c r="B210" s="0" t="s">
        <v>3757</v>
      </c>
      <c r="C210" s="0" t="s">
        <v>3758</v>
      </c>
      <c r="D210" s="0" t="s">
        <v>3757</v>
      </c>
      <c r="E210" s="0" t="s">
        <v>3758</v>
      </c>
      <c r="F210" s="0" t="s">
        <v>3206</v>
      </c>
      <c r="G210" s="0" t="s">
        <v>3762</v>
      </c>
    </row>
    <row customHeight="1" ht="11.25">
      <c r="A211" s="0" t="s">
        <v>14</v>
      </c>
      <c r="B211" s="0" t="s">
        <v>3757</v>
      </c>
      <c r="C211" s="0" t="s">
        <v>3758</v>
      </c>
      <c r="D211" s="0" t="s">
        <v>3763</v>
      </c>
      <c r="E211" s="0" t="s">
        <v>3764</v>
      </c>
      <c r="F211" s="0" t="s">
        <v>3209</v>
      </c>
      <c r="G211" s="0" t="s">
        <v>3765</v>
      </c>
    </row>
    <row customHeight="1" ht="11.25">
      <c r="A212" s="0" t="s">
        <v>14</v>
      </c>
      <c r="B212" s="0" t="s">
        <v>3757</v>
      </c>
      <c r="C212" s="0" t="s">
        <v>3758</v>
      </c>
      <c r="D212" s="0" t="s">
        <v>3766</v>
      </c>
      <c r="E212" s="0" t="s">
        <v>3767</v>
      </c>
      <c r="F212" s="0" t="s">
        <v>3209</v>
      </c>
      <c r="G212" s="0" t="s">
        <v>3768</v>
      </c>
    </row>
    <row customHeight="1" ht="11.25">
      <c r="A213" s="0" t="s">
        <v>14</v>
      </c>
      <c r="B213" s="0" t="s">
        <v>3769</v>
      </c>
      <c r="C213" s="0" t="s">
        <v>3770</v>
      </c>
      <c r="D213" s="0" t="s">
        <v>3771</v>
      </c>
      <c r="E213" s="0" t="s">
        <v>3772</v>
      </c>
      <c r="F213" s="0" t="s">
        <v>3209</v>
      </c>
      <c r="G213" s="0" t="s">
        <v>3773</v>
      </c>
    </row>
    <row customHeight="1" ht="11.25">
      <c r="A214" s="0" t="s">
        <v>14</v>
      </c>
      <c r="B214" s="0" t="s">
        <v>3769</v>
      </c>
      <c r="C214" s="0" t="s">
        <v>3770</v>
      </c>
      <c r="D214" s="0" t="s">
        <v>3774</v>
      </c>
      <c r="E214" s="0" t="s">
        <v>3775</v>
      </c>
      <c r="F214" s="0" t="s">
        <v>3209</v>
      </c>
      <c r="G214" s="0" t="s">
        <v>3776</v>
      </c>
    </row>
    <row customHeight="1" ht="11.25">
      <c r="A215" s="0" t="s">
        <v>14</v>
      </c>
      <c r="B215" s="0" t="s">
        <v>3769</v>
      </c>
      <c r="C215" s="0" t="s">
        <v>3770</v>
      </c>
      <c r="D215" s="0" t="s">
        <v>3777</v>
      </c>
      <c r="E215" s="0" t="s">
        <v>3778</v>
      </c>
      <c r="F215" s="0" t="s">
        <v>3209</v>
      </c>
      <c r="G215" s="0" t="s">
        <v>3779</v>
      </c>
    </row>
    <row customHeight="1" ht="11.25">
      <c r="A216" s="0" t="s">
        <v>14</v>
      </c>
      <c r="B216" s="0" t="s">
        <v>3769</v>
      </c>
      <c r="C216" s="0" t="s">
        <v>3770</v>
      </c>
      <c r="D216" s="0" t="s">
        <v>3780</v>
      </c>
      <c r="E216" s="0" t="s">
        <v>3781</v>
      </c>
      <c r="F216" s="0" t="s">
        <v>3209</v>
      </c>
      <c r="G216" s="0" t="s">
        <v>3782</v>
      </c>
    </row>
    <row customHeight="1" ht="11.25">
      <c r="A217" s="0" t="s">
        <v>14</v>
      </c>
      <c r="B217" s="0" t="s">
        <v>3769</v>
      </c>
      <c r="C217" s="0" t="s">
        <v>3770</v>
      </c>
      <c r="D217" s="0" t="s">
        <v>3783</v>
      </c>
      <c r="E217" s="0" t="s">
        <v>3784</v>
      </c>
      <c r="F217" s="0" t="s">
        <v>3209</v>
      </c>
      <c r="G217" s="0" t="s">
        <v>3785</v>
      </c>
    </row>
    <row customHeight="1" ht="11.25">
      <c r="A218" s="0" t="s">
        <v>14</v>
      </c>
      <c r="B218" s="0" t="s">
        <v>3769</v>
      </c>
      <c r="C218" s="0" t="s">
        <v>3770</v>
      </c>
      <c r="D218" s="0" t="s">
        <v>3769</v>
      </c>
      <c r="E218" s="0" t="s">
        <v>3770</v>
      </c>
      <c r="F218" s="0" t="s">
        <v>3206</v>
      </c>
      <c r="G218" s="0" t="s">
        <v>3786</v>
      </c>
    </row>
    <row customHeight="1" ht="11.25">
      <c r="A219" s="0" t="s">
        <v>14</v>
      </c>
      <c r="B219" s="0" t="s">
        <v>3769</v>
      </c>
      <c r="C219" s="0" t="s">
        <v>3770</v>
      </c>
      <c r="D219" s="0" t="s">
        <v>3787</v>
      </c>
      <c r="E219" s="0" t="s">
        <v>3788</v>
      </c>
      <c r="F219" s="0" t="s">
        <v>3209</v>
      </c>
      <c r="G219" s="0" t="s">
        <v>3789</v>
      </c>
    </row>
    <row customHeight="1" ht="11.25">
      <c r="A220" s="0" t="s">
        <v>14</v>
      </c>
      <c r="B220" s="0" t="s">
        <v>3769</v>
      </c>
      <c r="C220" s="0" t="s">
        <v>3770</v>
      </c>
      <c r="D220" s="0" t="s">
        <v>3790</v>
      </c>
      <c r="E220" s="0" t="s">
        <v>3791</v>
      </c>
      <c r="F220" s="0" t="s">
        <v>3209</v>
      </c>
      <c r="G220" s="0" t="s">
        <v>3792</v>
      </c>
    </row>
    <row customHeight="1" ht="11.25">
      <c r="A221" s="0" t="s">
        <v>14</v>
      </c>
      <c r="B221" s="0" t="s">
        <v>3769</v>
      </c>
      <c r="C221" s="0" t="s">
        <v>3770</v>
      </c>
      <c r="D221" s="0" t="s">
        <v>3793</v>
      </c>
      <c r="E221" s="0" t="s">
        <v>3794</v>
      </c>
      <c r="F221" s="0" t="s">
        <v>3209</v>
      </c>
      <c r="G221" s="0" t="s">
        <v>3795</v>
      </c>
    </row>
    <row customHeight="1" ht="11.25">
      <c r="A222" s="0" t="s">
        <v>14</v>
      </c>
      <c r="B222" s="0" t="s">
        <v>3769</v>
      </c>
      <c r="C222" s="0" t="s">
        <v>3770</v>
      </c>
      <c r="D222" s="0" t="s">
        <v>3796</v>
      </c>
      <c r="E222" s="0" t="s">
        <v>3797</v>
      </c>
      <c r="F222" s="0" t="s">
        <v>3209</v>
      </c>
      <c r="G222" s="0" t="s">
        <v>3798</v>
      </c>
    </row>
    <row customHeight="1" ht="11.25">
      <c r="A223" s="0" t="s">
        <v>14</v>
      </c>
      <c r="B223" s="0" t="s">
        <v>3799</v>
      </c>
      <c r="C223" s="0" t="s">
        <v>3800</v>
      </c>
      <c r="D223" s="0" t="s">
        <v>3801</v>
      </c>
      <c r="E223" s="0" t="s">
        <v>3802</v>
      </c>
      <c r="F223" s="0" t="s">
        <v>3209</v>
      </c>
      <c r="G223" s="0" t="s">
        <v>3803</v>
      </c>
    </row>
    <row customHeight="1" ht="11.25">
      <c r="A224" s="0" t="s">
        <v>14</v>
      </c>
      <c r="B224" s="0" t="s">
        <v>3799</v>
      </c>
      <c r="C224" s="0" t="s">
        <v>3800</v>
      </c>
      <c r="D224" s="0" t="s">
        <v>3804</v>
      </c>
      <c r="E224" s="0" t="s">
        <v>3805</v>
      </c>
      <c r="F224" s="0" t="s">
        <v>3209</v>
      </c>
      <c r="G224" s="0" t="s">
        <v>3806</v>
      </c>
    </row>
    <row customHeight="1" ht="11.25">
      <c r="A225" s="0" t="s">
        <v>14</v>
      </c>
      <c r="B225" s="0" t="s">
        <v>3799</v>
      </c>
      <c r="C225" s="0" t="s">
        <v>3800</v>
      </c>
      <c r="D225" s="0" t="s">
        <v>3807</v>
      </c>
      <c r="E225" s="0" t="s">
        <v>3808</v>
      </c>
      <c r="F225" s="0" t="s">
        <v>3209</v>
      </c>
      <c r="G225" s="0" t="s">
        <v>3809</v>
      </c>
    </row>
    <row customHeight="1" ht="11.25">
      <c r="A226" s="0" t="s">
        <v>14</v>
      </c>
      <c r="B226" s="0" t="s">
        <v>3799</v>
      </c>
      <c r="C226" s="0" t="s">
        <v>3800</v>
      </c>
      <c r="D226" s="0" t="s">
        <v>3810</v>
      </c>
      <c r="E226" s="0" t="s">
        <v>3811</v>
      </c>
      <c r="F226" s="0" t="s">
        <v>3209</v>
      </c>
      <c r="G226" s="0" t="s">
        <v>3812</v>
      </c>
    </row>
    <row customHeight="1" ht="11.25">
      <c r="A227" s="0" t="s">
        <v>14</v>
      </c>
      <c r="B227" s="0" t="s">
        <v>3799</v>
      </c>
      <c r="C227" s="0" t="s">
        <v>3800</v>
      </c>
      <c r="D227" s="0" t="s">
        <v>3813</v>
      </c>
      <c r="E227" s="0" t="s">
        <v>3814</v>
      </c>
      <c r="F227" s="0" t="s">
        <v>3209</v>
      </c>
      <c r="G227" s="0" t="s">
        <v>3815</v>
      </c>
    </row>
    <row customHeight="1" ht="11.25">
      <c r="A228" s="0" t="s">
        <v>14</v>
      </c>
      <c r="B228" s="0" t="s">
        <v>3799</v>
      </c>
      <c r="C228" s="0" t="s">
        <v>3800</v>
      </c>
      <c r="D228" s="0" t="s">
        <v>3799</v>
      </c>
      <c r="E228" s="0" t="s">
        <v>3800</v>
      </c>
      <c r="F228" s="0" t="s">
        <v>3206</v>
      </c>
      <c r="G228" s="0" t="s">
        <v>3816</v>
      </c>
    </row>
    <row customHeight="1" ht="11.25">
      <c r="A229" s="0" t="s">
        <v>14</v>
      </c>
      <c r="B229" s="0" t="s">
        <v>3799</v>
      </c>
      <c r="C229" s="0" t="s">
        <v>3800</v>
      </c>
      <c r="D229" s="0" t="s">
        <v>3817</v>
      </c>
      <c r="E229" s="0" t="s">
        <v>3818</v>
      </c>
      <c r="F229" s="0" t="s">
        <v>3209</v>
      </c>
      <c r="G229" s="0" t="s">
        <v>3819</v>
      </c>
    </row>
    <row customHeight="1" ht="11.25">
      <c r="A230" s="0" t="s">
        <v>14</v>
      </c>
      <c r="B230" s="0" t="s">
        <v>3799</v>
      </c>
      <c r="C230" s="0" t="s">
        <v>3800</v>
      </c>
      <c r="D230" s="0" t="s">
        <v>3820</v>
      </c>
      <c r="E230" s="0" t="s">
        <v>3821</v>
      </c>
      <c r="F230" s="0" t="s">
        <v>3209</v>
      </c>
      <c r="G230" s="0" t="s">
        <v>3822</v>
      </c>
    </row>
    <row customHeight="1" ht="11.25">
      <c r="A231" s="0" t="s">
        <v>14</v>
      </c>
      <c r="B231" s="0" t="s">
        <v>3799</v>
      </c>
      <c r="C231" s="0" t="s">
        <v>3800</v>
      </c>
      <c r="D231" s="0" t="s">
        <v>3823</v>
      </c>
      <c r="E231" s="0" t="s">
        <v>3824</v>
      </c>
      <c r="F231" s="0" t="s">
        <v>3209</v>
      </c>
      <c r="G231" s="0" t="s">
        <v>3825</v>
      </c>
    </row>
    <row customHeight="1" ht="11.25">
      <c r="A232" s="0" t="s">
        <v>14</v>
      </c>
      <c r="B232" s="0" t="s">
        <v>3826</v>
      </c>
      <c r="C232" s="0" t="s">
        <v>3827</v>
      </c>
      <c r="D232" s="0" t="s">
        <v>3828</v>
      </c>
      <c r="E232" s="0" t="s">
        <v>3829</v>
      </c>
      <c r="F232" s="0" t="s">
        <v>3209</v>
      </c>
      <c r="G232" s="0" t="s">
        <v>3830</v>
      </c>
    </row>
    <row customHeight="1" ht="11.25">
      <c r="A233" s="0" t="s">
        <v>14</v>
      </c>
      <c r="B233" s="0" t="s">
        <v>3826</v>
      </c>
      <c r="C233" s="0" t="s">
        <v>3827</v>
      </c>
      <c r="D233" s="0" t="s">
        <v>3831</v>
      </c>
      <c r="E233" s="0" t="s">
        <v>3832</v>
      </c>
      <c r="F233" s="0" t="s">
        <v>3209</v>
      </c>
      <c r="G233" s="0" t="s">
        <v>3833</v>
      </c>
    </row>
    <row customHeight="1" ht="11.25">
      <c r="A234" s="0" t="s">
        <v>14</v>
      </c>
      <c r="B234" s="0" t="s">
        <v>3826</v>
      </c>
      <c r="C234" s="0" t="s">
        <v>3827</v>
      </c>
      <c r="D234" s="0" t="s">
        <v>3834</v>
      </c>
      <c r="E234" s="0" t="s">
        <v>3835</v>
      </c>
      <c r="F234" s="0" t="s">
        <v>3209</v>
      </c>
      <c r="G234" s="0" t="s">
        <v>3836</v>
      </c>
    </row>
    <row customHeight="1" ht="11.25">
      <c r="A235" s="0" t="s">
        <v>14</v>
      </c>
      <c r="B235" s="0" t="s">
        <v>3826</v>
      </c>
      <c r="C235" s="0" t="s">
        <v>3827</v>
      </c>
      <c r="D235" s="0" t="s">
        <v>3837</v>
      </c>
      <c r="E235" s="0" t="s">
        <v>3838</v>
      </c>
      <c r="F235" s="0" t="s">
        <v>3209</v>
      </c>
      <c r="G235" s="0" t="s">
        <v>3839</v>
      </c>
    </row>
    <row customHeight="1" ht="11.25">
      <c r="A236" s="0" t="s">
        <v>14</v>
      </c>
      <c r="B236" s="0" t="s">
        <v>3826</v>
      </c>
      <c r="C236" s="0" t="s">
        <v>3827</v>
      </c>
      <c r="D236" s="0" t="s">
        <v>3840</v>
      </c>
      <c r="E236" s="0" t="s">
        <v>3841</v>
      </c>
      <c r="F236" s="0" t="s">
        <v>3209</v>
      </c>
      <c r="G236" s="0" t="s">
        <v>3842</v>
      </c>
    </row>
    <row customHeight="1" ht="11.25">
      <c r="A237" s="0" t="s">
        <v>14</v>
      </c>
      <c r="B237" s="0" t="s">
        <v>3826</v>
      </c>
      <c r="C237" s="0" t="s">
        <v>3827</v>
      </c>
      <c r="D237" s="0" t="s">
        <v>3843</v>
      </c>
      <c r="E237" s="0" t="s">
        <v>3844</v>
      </c>
      <c r="F237" s="0" t="s">
        <v>3209</v>
      </c>
      <c r="G237" s="0" t="s">
        <v>3845</v>
      </c>
    </row>
    <row customHeight="1" ht="11.25">
      <c r="A238" s="0" t="s">
        <v>14</v>
      </c>
      <c r="B238" s="0" t="s">
        <v>3826</v>
      </c>
      <c r="C238" s="0" t="s">
        <v>3827</v>
      </c>
      <c r="D238" s="0" t="s">
        <v>3826</v>
      </c>
      <c r="E238" s="0" t="s">
        <v>3827</v>
      </c>
      <c r="F238" s="0" t="s">
        <v>3206</v>
      </c>
      <c r="G238" s="0" t="s">
        <v>3846</v>
      </c>
    </row>
    <row customHeight="1" ht="11.25">
      <c r="A239" s="0" t="s">
        <v>14</v>
      </c>
      <c r="B239" s="0" t="s">
        <v>3826</v>
      </c>
      <c r="C239" s="0" t="s">
        <v>3827</v>
      </c>
      <c r="D239" s="0" t="s">
        <v>3847</v>
      </c>
      <c r="E239" s="0" t="s">
        <v>3848</v>
      </c>
      <c r="F239" s="0" t="s">
        <v>3248</v>
      </c>
      <c r="G239" s="0" t="s">
        <v>3849</v>
      </c>
    </row>
    <row customHeight="1" ht="11.25">
      <c r="A240" s="0" t="s">
        <v>14</v>
      </c>
      <c r="B240" s="0" t="s">
        <v>3826</v>
      </c>
      <c r="C240" s="0" t="s">
        <v>3827</v>
      </c>
      <c r="D240" s="0" t="s">
        <v>3850</v>
      </c>
      <c r="E240" s="0" t="s">
        <v>3851</v>
      </c>
      <c r="F240" s="0" t="s">
        <v>3209</v>
      </c>
      <c r="G240" s="0" t="s">
        <v>3852</v>
      </c>
    </row>
    <row customHeight="1" ht="11.25">
      <c r="A241" s="0" t="s">
        <v>14</v>
      </c>
      <c r="B241" s="0" t="s">
        <v>3826</v>
      </c>
      <c r="C241" s="0" t="s">
        <v>3827</v>
      </c>
      <c r="D241" s="0" t="s">
        <v>3675</v>
      </c>
      <c r="E241" s="0" t="s">
        <v>3853</v>
      </c>
      <c r="F241" s="0" t="s">
        <v>3209</v>
      </c>
      <c r="G241" s="0" t="s">
        <v>3854</v>
      </c>
    </row>
    <row customHeight="1" ht="11.25">
      <c r="A242" s="0" t="s">
        <v>14</v>
      </c>
      <c r="B242" s="0" t="s">
        <v>3826</v>
      </c>
      <c r="C242" s="0" t="s">
        <v>3827</v>
      </c>
      <c r="D242" s="0" t="s">
        <v>3855</v>
      </c>
      <c r="E242" s="0" t="s">
        <v>3856</v>
      </c>
      <c r="F242" s="0" t="s">
        <v>3209</v>
      </c>
      <c r="G242" s="0" t="s">
        <v>3857</v>
      </c>
    </row>
    <row customHeight="1" ht="11.25">
      <c r="A243" s="0" t="s">
        <v>14</v>
      </c>
      <c r="B243" s="0" t="s">
        <v>3826</v>
      </c>
      <c r="C243" s="0" t="s">
        <v>3827</v>
      </c>
      <c r="D243" s="0" t="s">
        <v>3858</v>
      </c>
      <c r="E243" s="0" t="s">
        <v>3859</v>
      </c>
      <c r="F243" s="0" t="s">
        <v>3209</v>
      </c>
      <c r="G243" s="0" t="s">
        <v>3860</v>
      </c>
    </row>
    <row customHeight="1" ht="11.25">
      <c r="A244" s="0" t="s">
        <v>14</v>
      </c>
      <c r="B244" s="0" t="s">
        <v>3826</v>
      </c>
      <c r="C244" s="0" t="s">
        <v>3827</v>
      </c>
      <c r="D244" s="0" t="s">
        <v>3861</v>
      </c>
      <c r="E244" s="0" t="s">
        <v>3862</v>
      </c>
      <c r="F244" s="0" t="s">
        <v>3209</v>
      </c>
      <c r="G244" s="0" t="s">
        <v>3863</v>
      </c>
    </row>
    <row customHeight="1" ht="11.25">
      <c r="A245" s="0" t="s">
        <v>14</v>
      </c>
      <c r="B245" s="0" t="s">
        <v>3826</v>
      </c>
      <c r="C245" s="0" t="s">
        <v>3827</v>
      </c>
      <c r="D245" s="0" t="s">
        <v>3864</v>
      </c>
      <c r="E245" s="0" t="s">
        <v>3865</v>
      </c>
      <c r="F245" s="0" t="s">
        <v>3209</v>
      </c>
      <c r="G245" s="0" t="s">
        <v>3866</v>
      </c>
    </row>
    <row customHeight="1" ht="11.25">
      <c r="A246" s="0" t="s">
        <v>14</v>
      </c>
      <c r="B246" s="0" t="s">
        <v>3867</v>
      </c>
      <c r="C246" s="0" t="s">
        <v>3868</v>
      </c>
      <c r="D246" s="0" t="s">
        <v>3869</v>
      </c>
      <c r="E246" s="0" t="s">
        <v>3870</v>
      </c>
      <c r="F246" s="0" t="s">
        <v>3209</v>
      </c>
      <c r="G246" s="0" t="s">
        <v>3871</v>
      </c>
    </row>
    <row customHeight="1" ht="11.25">
      <c r="A247" s="0" t="s">
        <v>14</v>
      </c>
      <c r="B247" s="0" t="s">
        <v>3867</v>
      </c>
      <c r="C247" s="0" t="s">
        <v>3868</v>
      </c>
      <c r="D247" s="0" t="s">
        <v>3872</v>
      </c>
      <c r="E247" s="0" t="s">
        <v>3873</v>
      </c>
      <c r="F247" s="0" t="s">
        <v>3209</v>
      </c>
      <c r="G247" s="0" t="s">
        <v>3874</v>
      </c>
    </row>
    <row customHeight="1" ht="11.25">
      <c r="A248" s="0" t="s">
        <v>14</v>
      </c>
      <c r="B248" s="0" t="s">
        <v>3867</v>
      </c>
      <c r="C248" s="0" t="s">
        <v>3868</v>
      </c>
      <c r="D248" s="0" t="s">
        <v>3867</v>
      </c>
      <c r="E248" s="0" t="s">
        <v>3868</v>
      </c>
      <c r="F248" s="0" t="s">
        <v>3206</v>
      </c>
      <c r="G248" s="0" t="s">
        <v>3875</v>
      </c>
    </row>
    <row customHeight="1" ht="11.25">
      <c r="A249" s="0" t="s">
        <v>14</v>
      </c>
      <c r="B249" s="0" t="s">
        <v>3867</v>
      </c>
      <c r="C249" s="0" t="s">
        <v>3868</v>
      </c>
      <c r="D249" s="0" t="s">
        <v>3876</v>
      </c>
      <c r="E249" s="0" t="s">
        <v>3877</v>
      </c>
      <c r="F249" s="0" t="s">
        <v>3209</v>
      </c>
      <c r="G249" s="0" t="s">
        <v>3878</v>
      </c>
    </row>
    <row customHeight="1" ht="11.25">
      <c r="A250" s="0" t="s">
        <v>14</v>
      </c>
      <c r="B250" s="0" t="s">
        <v>3867</v>
      </c>
      <c r="C250" s="0" t="s">
        <v>3868</v>
      </c>
      <c r="D250" s="0" t="s">
        <v>3879</v>
      </c>
      <c r="E250" s="0" t="s">
        <v>3880</v>
      </c>
      <c r="F250" s="0" t="s">
        <v>3209</v>
      </c>
      <c r="G250" s="0" t="s">
        <v>3881</v>
      </c>
    </row>
    <row customHeight="1" ht="11.25">
      <c r="A251" s="0" t="s">
        <v>14</v>
      </c>
      <c r="B251" s="0" t="s">
        <v>3867</v>
      </c>
      <c r="C251" s="0" t="s">
        <v>3868</v>
      </c>
      <c r="D251" s="0" t="s">
        <v>3882</v>
      </c>
      <c r="E251" s="0" t="s">
        <v>3883</v>
      </c>
      <c r="F251" s="0" t="s">
        <v>3209</v>
      </c>
      <c r="G251" s="0" t="s">
        <v>3884</v>
      </c>
    </row>
    <row customHeight="1" ht="11.25">
      <c r="A252" s="0" t="s">
        <v>14</v>
      </c>
      <c r="B252" s="0" t="s">
        <v>3867</v>
      </c>
      <c r="C252" s="0" t="s">
        <v>3868</v>
      </c>
      <c r="D252" s="0" t="s">
        <v>3885</v>
      </c>
      <c r="E252" s="0" t="s">
        <v>3886</v>
      </c>
      <c r="F252" s="0" t="s">
        <v>3209</v>
      </c>
      <c r="G252" s="0" t="s">
        <v>3887</v>
      </c>
    </row>
    <row customHeight="1" ht="11.25">
      <c r="A253" s="0" t="s">
        <v>14</v>
      </c>
      <c r="B253" s="0" t="s">
        <v>3867</v>
      </c>
      <c r="C253" s="0" t="s">
        <v>3868</v>
      </c>
      <c r="D253" s="0" t="s">
        <v>3888</v>
      </c>
      <c r="E253" s="0" t="s">
        <v>3889</v>
      </c>
      <c r="F253" s="0" t="s">
        <v>3209</v>
      </c>
      <c r="G253" s="0" t="s">
        <v>3890</v>
      </c>
    </row>
    <row customHeight="1" ht="11.25">
      <c r="A254" s="0" t="s">
        <v>14</v>
      </c>
      <c r="B254" s="0" t="s">
        <v>3891</v>
      </c>
      <c r="C254" s="0" t="s">
        <v>3892</v>
      </c>
      <c r="D254" s="0" t="s">
        <v>3893</v>
      </c>
      <c r="E254" s="0" t="s">
        <v>3894</v>
      </c>
      <c r="F254" s="0" t="s">
        <v>3209</v>
      </c>
      <c r="G254" s="0" t="s">
        <v>3895</v>
      </c>
    </row>
    <row customHeight="1" ht="11.25">
      <c r="A255" s="0" t="s">
        <v>14</v>
      </c>
      <c r="B255" s="0" t="s">
        <v>3891</v>
      </c>
      <c r="C255" s="0" t="s">
        <v>3892</v>
      </c>
      <c r="D255" s="0" t="s">
        <v>3896</v>
      </c>
      <c r="E255" s="0" t="s">
        <v>3897</v>
      </c>
      <c r="F255" s="0" t="s">
        <v>3209</v>
      </c>
      <c r="G255" s="0" t="s">
        <v>3898</v>
      </c>
    </row>
    <row customHeight="1" ht="11.25">
      <c r="A256" s="0" t="s">
        <v>14</v>
      </c>
      <c r="B256" s="0" t="s">
        <v>3891</v>
      </c>
      <c r="C256" s="0" t="s">
        <v>3892</v>
      </c>
      <c r="D256" s="0" t="s">
        <v>3899</v>
      </c>
      <c r="E256" s="0" t="s">
        <v>3900</v>
      </c>
      <c r="F256" s="0" t="s">
        <v>3209</v>
      </c>
      <c r="G256" s="0" t="s">
        <v>3901</v>
      </c>
    </row>
    <row customHeight="1" ht="11.25">
      <c r="A257" s="0" t="s">
        <v>14</v>
      </c>
      <c r="B257" s="0" t="s">
        <v>3891</v>
      </c>
      <c r="C257" s="0" t="s">
        <v>3892</v>
      </c>
      <c r="D257" s="0" t="s">
        <v>3902</v>
      </c>
      <c r="E257" s="0" t="s">
        <v>3903</v>
      </c>
      <c r="F257" s="0" t="s">
        <v>3209</v>
      </c>
      <c r="G257" s="0" t="s">
        <v>3904</v>
      </c>
    </row>
    <row customHeight="1" ht="11.25">
      <c r="A258" s="0" t="s">
        <v>14</v>
      </c>
      <c r="B258" s="0" t="s">
        <v>3891</v>
      </c>
      <c r="C258" s="0" t="s">
        <v>3892</v>
      </c>
      <c r="D258" s="0" t="s">
        <v>3905</v>
      </c>
      <c r="E258" s="0" t="s">
        <v>3906</v>
      </c>
      <c r="F258" s="0" t="s">
        <v>3209</v>
      </c>
      <c r="G258" s="0" t="s">
        <v>3907</v>
      </c>
    </row>
    <row customHeight="1" ht="11.25">
      <c r="A259" s="0" t="s">
        <v>14</v>
      </c>
      <c r="B259" s="0" t="s">
        <v>3891</v>
      </c>
      <c r="C259" s="0" t="s">
        <v>3892</v>
      </c>
      <c r="D259" s="0" t="s">
        <v>3908</v>
      </c>
      <c r="E259" s="0" t="s">
        <v>3909</v>
      </c>
      <c r="F259" s="0" t="s">
        <v>3209</v>
      </c>
      <c r="G259" s="0" t="s">
        <v>3910</v>
      </c>
    </row>
    <row customHeight="1" ht="11.25">
      <c r="A260" s="0" t="s">
        <v>14</v>
      </c>
      <c r="B260" s="0" t="s">
        <v>3891</v>
      </c>
      <c r="C260" s="0" t="s">
        <v>3892</v>
      </c>
      <c r="D260" s="0" t="s">
        <v>3891</v>
      </c>
      <c r="E260" s="0" t="s">
        <v>3892</v>
      </c>
      <c r="F260" s="0" t="s">
        <v>3206</v>
      </c>
      <c r="G260" s="0" t="s">
        <v>3911</v>
      </c>
    </row>
    <row customHeight="1" ht="11.25">
      <c r="A261" s="0" t="s">
        <v>14</v>
      </c>
      <c r="B261" s="0" t="s">
        <v>3891</v>
      </c>
      <c r="C261" s="0" t="s">
        <v>3892</v>
      </c>
      <c r="D261" s="0" t="s">
        <v>3912</v>
      </c>
      <c r="E261" s="0" t="s">
        <v>3913</v>
      </c>
      <c r="F261" s="0" t="s">
        <v>3248</v>
      </c>
      <c r="G261" s="0" t="s">
        <v>3914</v>
      </c>
    </row>
    <row customHeight="1" ht="11.25">
      <c r="A262" s="0" t="s">
        <v>14</v>
      </c>
      <c r="B262" s="0" t="s">
        <v>3891</v>
      </c>
      <c r="C262" s="0" t="s">
        <v>3892</v>
      </c>
      <c r="D262" s="0" t="s">
        <v>3915</v>
      </c>
      <c r="E262" s="0" t="s">
        <v>3916</v>
      </c>
      <c r="F262" s="0" t="s">
        <v>3209</v>
      </c>
      <c r="G262" s="0" t="s">
        <v>3917</v>
      </c>
    </row>
    <row customHeight="1" ht="11.25">
      <c r="A263" s="0" t="s">
        <v>14</v>
      </c>
      <c r="B263" s="0" t="s">
        <v>3891</v>
      </c>
      <c r="C263" s="0" t="s">
        <v>3892</v>
      </c>
      <c r="D263" s="0" t="s">
        <v>3918</v>
      </c>
      <c r="E263" s="0" t="s">
        <v>3919</v>
      </c>
      <c r="F263" s="0" t="s">
        <v>3209</v>
      </c>
      <c r="G263" s="0" t="s">
        <v>3920</v>
      </c>
    </row>
    <row customHeight="1" ht="11.25">
      <c r="A264" s="0" t="s">
        <v>14</v>
      </c>
      <c r="B264" s="0" t="s">
        <v>3921</v>
      </c>
      <c r="C264" s="0" t="s">
        <v>3922</v>
      </c>
      <c r="D264" s="0" t="s">
        <v>3923</v>
      </c>
      <c r="E264" s="0" t="s">
        <v>3924</v>
      </c>
      <c r="F264" s="0" t="s">
        <v>3209</v>
      </c>
      <c r="G264" s="0" t="s">
        <v>3925</v>
      </c>
    </row>
    <row customHeight="1" ht="11.25">
      <c r="A265" s="0" t="s">
        <v>14</v>
      </c>
      <c r="B265" s="0" t="s">
        <v>3921</v>
      </c>
      <c r="C265" s="0" t="s">
        <v>3922</v>
      </c>
      <c r="D265" s="0" t="s">
        <v>3597</v>
      </c>
      <c r="E265" s="0" t="s">
        <v>3926</v>
      </c>
      <c r="F265" s="0" t="s">
        <v>3209</v>
      </c>
      <c r="G265" s="0" t="s">
        <v>3927</v>
      </c>
    </row>
    <row customHeight="1" ht="11.25">
      <c r="A266" s="0" t="s">
        <v>14</v>
      </c>
      <c r="B266" s="0" t="s">
        <v>3921</v>
      </c>
      <c r="C266" s="0" t="s">
        <v>3922</v>
      </c>
      <c r="D266" s="0" t="s">
        <v>3928</v>
      </c>
      <c r="E266" s="0" t="s">
        <v>3929</v>
      </c>
      <c r="F266" s="0" t="s">
        <v>3209</v>
      </c>
      <c r="G266" s="0" t="s">
        <v>3930</v>
      </c>
    </row>
    <row customHeight="1" ht="11.25">
      <c r="A267" s="0" t="s">
        <v>14</v>
      </c>
      <c r="B267" s="0" t="s">
        <v>3921</v>
      </c>
      <c r="C267" s="0" t="s">
        <v>3922</v>
      </c>
      <c r="D267" s="0" t="s">
        <v>3931</v>
      </c>
      <c r="E267" s="0" t="s">
        <v>3932</v>
      </c>
      <c r="F267" s="0" t="s">
        <v>3209</v>
      </c>
      <c r="G267" s="0" t="s">
        <v>3933</v>
      </c>
    </row>
    <row customHeight="1" ht="11.25">
      <c r="A268" s="0" t="s">
        <v>14</v>
      </c>
      <c r="B268" s="0" t="s">
        <v>3921</v>
      </c>
      <c r="C268" s="0" t="s">
        <v>3922</v>
      </c>
      <c r="D268" s="0" t="s">
        <v>3921</v>
      </c>
      <c r="E268" s="0" t="s">
        <v>3922</v>
      </c>
      <c r="F268" s="0" t="s">
        <v>3206</v>
      </c>
      <c r="G268" s="0" t="s">
        <v>3934</v>
      </c>
    </row>
    <row customHeight="1" ht="11.25">
      <c r="A269" s="0" t="s">
        <v>14</v>
      </c>
      <c r="B269" s="0" t="s">
        <v>3921</v>
      </c>
      <c r="C269" s="0" t="s">
        <v>3922</v>
      </c>
      <c r="D269" s="0" t="s">
        <v>3935</v>
      </c>
      <c r="E269" s="0" t="s">
        <v>3936</v>
      </c>
      <c r="F269" s="0" t="s">
        <v>3209</v>
      </c>
      <c r="G269" s="0" t="s">
        <v>3937</v>
      </c>
    </row>
    <row customHeight="1" ht="11.25">
      <c r="A270" s="0" t="s">
        <v>14</v>
      </c>
      <c r="B270" s="0" t="s">
        <v>3921</v>
      </c>
      <c r="C270" s="0" t="s">
        <v>3922</v>
      </c>
      <c r="D270" s="0" t="s">
        <v>3938</v>
      </c>
      <c r="E270" s="0" t="s">
        <v>3939</v>
      </c>
      <c r="F270" s="0" t="s">
        <v>3209</v>
      </c>
      <c r="G270" s="0" t="s">
        <v>3940</v>
      </c>
    </row>
    <row customHeight="1" ht="11.25">
      <c r="A271" s="0" t="s">
        <v>14</v>
      </c>
      <c r="B271" s="0" t="s">
        <v>3921</v>
      </c>
      <c r="C271" s="0" t="s">
        <v>3922</v>
      </c>
      <c r="D271" s="0" t="s">
        <v>3941</v>
      </c>
      <c r="E271" s="0" t="s">
        <v>3942</v>
      </c>
      <c r="F271" s="0" t="s">
        <v>3209</v>
      </c>
      <c r="G271" s="0" t="s">
        <v>3943</v>
      </c>
    </row>
    <row customHeight="1" ht="11.25">
      <c r="A272" s="0" t="s">
        <v>14</v>
      </c>
      <c r="B272" s="0" t="s">
        <v>3944</v>
      </c>
      <c r="C272" s="0" t="s">
        <v>3945</v>
      </c>
      <c r="D272" s="0" t="s">
        <v>3946</v>
      </c>
      <c r="E272" s="0" t="s">
        <v>3947</v>
      </c>
      <c r="F272" s="0" t="s">
        <v>3209</v>
      </c>
      <c r="G272" s="0" t="s">
        <v>3948</v>
      </c>
    </row>
    <row customHeight="1" ht="11.25">
      <c r="A273" s="0" t="s">
        <v>14</v>
      </c>
      <c r="B273" s="0" t="s">
        <v>3944</v>
      </c>
      <c r="C273" s="0" t="s">
        <v>3945</v>
      </c>
      <c r="D273" s="0" t="s">
        <v>3949</v>
      </c>
      <c r="E273" s="0" t="s">
        <v>3950</v>
      </c>
      <c r="F273" s="0" t="s">
        <v>3209</v>
      </c>
      <c r="G273" s="0" t="s">
        <v>3951</v>
      </c>
    </row>
    <row customHeight="1" ht="11.25">
      <c r="A274" s="0" t="s">
        <v>14</v>
      </c>
      <c r="B274" s="0" t="s">
        <v>3944</v>
      </c>
      <c r="C274" s="0" t="s">
        <v>3945</v>
      </c>
      <c r="D274" s="0" t="s">
        <v>3952</v>
      </c>
      <c r="E274" s="0" t="s">
        <v>3953</v>
      </c>
      <c r="F274" s="0" t="s">
        <v>3209</v>
      </c>
      <c r="G274" s="0" t="s">
        <v>3954</v>
      </c>
    </row>
    <row customHeight="1" ht="11.25">
      <c r="A275" s="0" t="s">
        <v>14</v>
      </c>
      <c r="B275" s="0" t="s">
        <v>3944</v>
      </c>
      <c r="C275" s="0" t="s">
        <v>3945</v>
      </c>
      <c r="D275" s="0" t="s">
        <v>3955</v>
      </c>
      <c r="E275" s="0" t="s">
        <v>3956</v>
      </c>
      <c r="F275" s="0" t="s">
        <v>3209</v>
      </c>
      <c r="G275" s="0" t="s">
        <v>3957</v>
      </c>
    </row>
    <row customHeight="1" ht="11.25">
      <c r="A276" s="0" t="s">
        <v>14</v>
      </c>
      <c r="B276" s="0" t="s">
        <v>3944</v>
      </c>
      <c r="C276" s="0" t="s">
        <v>3945</v>
      </c>
      <c r="D276" s="0" t="s">
        <v>3958</v>
      </c>
      <c r="E276" s="0" t="s">
        <v>3959</v>
      </c>
      <c r="F276" s="0" t="s">
        <v>3209</v>
      </c>
      <c r="G276" s="0" t="s">
        <v>3960</v>
      </c>
    </row>
    <row customHeight="1" ht="11.25">
      <c r="A277" s="0" t="s">
        <v>14</v>
      </c>
      <c r="B277" s="0" t="s">
        <v>3944</v>
      </c>
      <c r="C277" s="0" t="s">
        <v>3945</v>
      </c>
      <c r="D277" s="0" t="s">
        <v>3961</v>
      </c>
      <c r="E277" s="0" t="s">
        <v>3962</v>
      </c>
      <c r="F277" s="0" t="s">
        <v>3209</v>
      </c>
      <c r="G277" s="0" t="s">
        <v>3963</v>
      </c>
    </row>
    <row customHeight="1" ht="11.25">
      <c r="A278" s="0" t="s">
        <v>14</v>
      </c>
      <c r="B278" s="0" t="s">
        <v>3944</v>
      </c>
      <c r="C278" s="0" t="s">
        <v>3945</v>
      </c>
      <c r="D278" s="0" t="s">
        <v>3944</v>
      </c>
      <c r="E278" s="0" t="s">
        <v>3945</v>
      </c>
      <c r="F278" s="0" t="s">
        <v>3206</v>
      </c>
      <c r="G278" s="0" t="s">
        <v>3964</v>
      </c>
    </row>
    <row customHeight="1" ht="11.25">
      <c r="A279" s="0" t="s">
        <v>14</v>
      </c>
      <c r="B279" s="0" t="s">
        <v>3944</v>
      </c>
      <c r="C279" s="0" t="s">
        <v>3945</v>
      </c>
      <c r="D279" s="0" t="s">
        <v>3702</v>
      </c>
      <c r="E279" s="0" t="s">
        <v>3965</v>
      </c>
      <c r="F279" s="0" t="s">
        <v>3209</v>
      </c>
      <c r="G279" s="0" t="s">
        <v>3966</v>
      </c>
    </row>
    <row customHeight="1" ht="11.25">
      <c r="A280" s="0" t="s">
        <v>14</v>
      </c>
      <c r="B280" s="0" t="s">
        <v>3944</v>
      </c>
      <c r="C280" s="0" t="s">
        <v>3945</v>
      </c>
      <c r="D280" s="0" t="s">
        <v>3967</v>
      </c>
      <c r="E280" s="0" t="s">
        <v>3968</v>
      </c>
      <c r="F280" s="0" t="s">
        <v>3209</v>
      </c>
      <c r="G280" s="0" t="s">
        <v>3969</v>
      </c>
    </row>
    <row customHeight="1" ht="11.25">
      <c r="A281" s="0" t="s">
        <v>14</v>
      </c>
      <c r="B281" s="0" t="s">
        <v>3944</v>
      </c>
      <c r="C281" s="0" t="s">
        <v>3945</v>
      </c>
      <c r="D281" s="0" t="s">
        <v>3970</v>
      </c>
      <c r="E281" s="0" t="s">
        <v>3971</v>
      </c>
      <c r="F281" s="0" t="s">
        <v>3209</v>
      </c>
      <c r="G281" s="0" t="s">
        <v>3972</v>
      </c>
    </row>
    <row customHeight="1" ht="11.25">
      <c r="A282" s="0" t="s">
        <v>14</v>
      </c>
      <c r="B282" s="0" t="s">
        <v>3944</v>
      </c>
      <c r="C282" s="0" t="s">
        <v>3945</v>
      </c>
      <c r="D282" s="0" t="s">
        <v>3973</v>
      </c>
      <c r="E282" s="0" t="s">
        <v>3974</v>
      </c>
      <c r="F282" s="0" t="s">
        <v>3209</v>
      </c>
      <c r="G282" s="0" t="s">
        <v>3975</v>
      </c>
    </row>
    <row customHeight="1" ht="11.25">
      <c r="A283" s="0" t="s">
        <v>14</v>
      </c>
      <c r="B283" s="0" t="s">
        <v>3944</v>
      </c>
      <c r="C283" s="0" t="s">
        <v>3945</v>
      </c>
      <c r="D283" s="0" t="s">
        <v>3976</v>
      </c>
      <c r="E283" s="0" t="s">
        <v>3977</v>
      </c>
      <c r="F283" s="0" t="s">
        <v>3209</v>
      </c>
      <c r="G283" s="0" t="s">
        <v>3978</v>
      </c>
    </row>
    <row customHeight="1" ht="11.25">
      <c r="A284" s="0" t="s">
        <v>14</v>
      </c>
      <c r="B284" s="0" t="s">
        <v>3944</v>
      </c>
      <c r="C284" s="0" t="s">
        <v>3945</v>
      </c>
      <c r="D284" s="0" t="s">
        <v>3979</v>
      </c>
      <c r="E284" s="0" t="s">
        <v>3980</v>
      </c>
      <c r="F284" s="0" t="s">
        <v>3209</v>
      </c>
      <c r="G284" s="0" t="s">
        <v>3981</v>
      </c>
    </row>
    <row customHeight="1" ht="11.25">
      <c r="A285" s="0" t="s">
        <v>14</v>
      </c>
      <c r="B285" s="0" t="s">
        <v>3944</v>
      </c>
      <c r="C285" s="0" t="s">
        <v>3945</v>
      </c>
      <c r="D285" s="0" t="s">
        <v>3982</v>
      </c>
      <c r="E285" s="0" t="s">
        <v>3983</v>
      </c>
      <c r="F285" s="0" t="s">
        <v>3209</v>
      </c>
      <c r="G285" s="0" t="s">
        <v>3984</v>
      </c>
    </row>
    <row customHeight="1" ht="11.25">
      <c r="A286" s="0" t="s">
        <v>14</v>
      </c>
      <c r="B286" s="0" t="s">
        <v>3944</v>
      </c>
      <c r="C286" s="0" t="s">
        <v>3945</v>
      </c>
      <c r="D286" s="0" t="s">
        <v>3985</v>
      </c>
      <c r="E286" s="0" t="s">
        <v>3986</v>
      </c>
      <c r="F286" s="0" t="s">
        <v>3209</v>
      </c>
      <c r="G286" s="0" t="s">
        <v>3987</v>
      </c>
    </row>
    <row customHeight="1" ht="11.25">
      <c r="A287" s="0" t="s">
        <v>14</v>
      </c>
      <c r="B287" s="0" t="s">
        <v>3944</v>
      </c>
      <c r="C287" s="0" t="s">
        <v>3945</v>
      </c>
      <c r="D287" s="0" t="s">
        <v>3988</v>
      </c>
      <c r="E287" s="0" t="s">
        <v>3989</v>
      </c>
      <c r="F287" s="0" t="s">
        <v>3209</v>
      </c>
      <c r="G287" s="0" t="s">
        <v>3990</v>
      </c>
    </row>
    <row customHeight="1" ht="11.25">
      <c r="A288" s="0" t="s">
        <v>14</v>
      </c>
      <c r="B288" s="0" t="s">
        <v>3944</v>
      </c>
      <c r="C288" s="0" t="s">
        <v>3945</v>
      </c>
      <c r="D288" s="0" t="s">
        <v>3991</v>
      </c>
      <c r="E288" s="0" t="s">
        <v>3992</v>
      </c>
      <c r="F288" s="0" t="s">
        <v>3209</v>
      </c>
      <c r="G288" s="0" t="s">
        <v>3993</v>
      </c>
    </row>
    <row customHeight="1" ht="11.25">
      <c r="A289" s="0" t="s">
        <v>14</v>
      </c>
      <c r="B289" s="0" t="s">
        <v>3944</v>
      </c>
      <c r="C289" s="0" t="s">
        <v>3945</v>
      </c>
      <c r="D289" s="0" t="s">
        <v>3994</v>
      </c>
      <c r="E289" s="0" t="s">
        <v>3995</v>
      </c>
      <c r="F289" s="0" t="s">
        <v>3209</v>
      </c>
      <c r="G289" s="0" t="s">
        <v>3996</v>
      </c>
    </row>
    <row customHeight="1" ht="11.25">
      <c r="A290" s="0" t="s">
        <v>14</v>
      </c>
      <c r="B290" s="0" t="s">
        <v>3944</v>
      </c>
      <c r="C290" s="0" t="s">
        <v>3945</v>
      </c>
      <c r="D290" s="0" t="s">
        <v>3997</v>
      </c>
      <c r="E290" s="0" t="s">
        <v>3998</v>
      </c>
      <c r="F290" s="0" t="s">
        <v>3209</v>
      </c>
      <c r="G290" s="0" t="s">
        <v>3999</v>
      </c>
    </row>
    <row customHeight="1" ht="11.25">
      <c r="A291" s="0" t="s">
        <v>14</v>
      </c>
      <c r="B291" s="0" t="s">
        <v>4000</v>
      </c>
      <c r="C291" s="0" t="s">
        <v>4001</v>
      </c>
      <c r="D291" s="0" t="s">
        <v>3207</v>
      </c>
      <c r="E291" s="0" t="s">
        <v>4002</v>
      </c>
      <c r="F291" s="0" t="s">
        <v>3209</v>
      </c>
      <c r="G291" s="0" t="s">
        <v>4003</v>
      </c>
    </row>
    <row customHeight="1" ht="11.25">
      <c r="A292" s="0" t="s">
        <v>14</v>
      </c>
      <c r="B292" s="0" t="s">
        <v>4000</v>
      </c>
      <c r="C292" s="0" t="s">
        <v>4001</v>
      </c>
      <c r="D292" s="0" t="s">
        <v>3801</v>
      </c>
      <c r="E292" s="0" t="s">
        <v>4004</v>
      </c>
      <c r="F292" s="0" t="s">
        <v>3209</v>
      </c>
      <c r="G292" s="0" t="s">
        <v>4005</v>
      </c>
    </row>
    <row customHeight="1" ht="11.25">
      <c r="A293" s="0" t="s">
        <v>14</v>
      </c>
      <c r="B293" s="0" t="s">
        <v>4000</v>
      </c>
      <c r="C293" s="0" t="s">
        <v>4001</v>
      </c>
      <c r="D293" s="0" t="s">
        <v>4006</v>
      </c>
      <c r="E293" s="0" t="s">
        <v>4007</v>
      </c>
      <c r="F293" s="0" t="s">
        <v>3209</v>
      </c>
      <c r="G293" s="0" t="s">
        <v>4008</v>
      </c>
    </row>
    <row customHeight="1" ht="11.25">
      <c r="A294" s="0" t="s">
        <v>14</v>
      </c>
      <c r="B294" s="0" t="s">
        <v>4000</v>
      </c>
      <c r="C294" s="0" t="s">
        <v>4001</v>
      </c>
      <c r="D294" s="0" t="s">
        <v>4009</v>
      </c>
      <c r="E294" s="0" t="s">
        <v>4010</v>
      </c>
      <c r="F294" s="0" t="s">
        <v>3209</v>
      </c>
      <c r="G294" s="0" t="s">
        <v>4011</v>
      </c>
    </row>
    <row customHeight="1" ht="11.25">
      <c r="A295" s="0" t="s">
        <v>14</v>
      </c>
      <c r="B295" s="0" t="s">
        <v>4000</v>
      </c>
      <c r="C295" s="0" t="s">
        <v>4001</v>
      </c>
      <c r="D295" s="0" t="s">
        <v>4012</v>
      </c>
      <c r="E295" s="0" t="s">
        <v>4013</v>
      </c>
      <c r="F295" s="0" t="s">
        <v>3209</v>
      </c>
      <c r="G295" s="0" t="s">
        <v>4014</v>
      </c>
    </row>
    <row customHeight="1" ht="11.25">
      <c r="A296" s="0" t="s">
        <v>14</v>
      </c>
      <c r="B296" s="0" t="s">
        <v>4000</v>
      </c>
      <c r="C296" s="0" t="s">
        <v>4001</v>
      </c>
      <c r="D296" s="0" t="s">
        <v>4000</v>
      </c>
      <c r="E296" s="0" t="s">
        <v>4001</v>
      </c>
      <c r="F296" s="0" t="s">
        <v>3206</v>
      </c>
      <c r="G296" s="0" t="s">
        <v>4015</v>
      </c>
    </row>
    <row customHeight="1" ht="11.25">
      <c r="A297" s="0" t="s">
        <v>14</v>
      </c>
      <c r="B297" s="0" t="s">
        <v>4000</v>
      </c>
      <c r="C297" s="0" t="s">
        <v>4001</v>
      </c>
      <c r="D297" s="0" t="s">
        <v>4016</v>
      </c>
      <c r="E297" s="0" t="s">
        <v>4017</v>
      </c>
      <c r="F297" s="0" t="s">
        <v>3209</v>
      </c>
      <c r="G297" s="0" t="s">
        <v>4018</v>
      </c>
    </row>
    <row customHeight="1" ht="11.25">
      <c r="A298" s="0" t="s">
        <v>14</v>
      </c>
      <c r="B298" s="0" t="s">
        <v>4000</v>
      </c>
      <c r="C298" s="0" t="s">
        <v>4001</v>
      </c>
      <c r="D298" s="0" t="s">
        <v>4019</v>
      </c>
      <c r="E298" s="0" t="s">
        <v>4020</v>
      </c>
      <c r="F298" s="0" t="s">
        <v>3209</v>
      </c>
      <c r="G298" s="0" t="s">
        <v>4021</v>
      </c>
    </row>
    <row customHeight="1" ht="11.25">
      <c r="A299" s="0" t="s">
        <v>14</v>
      </c>
      <c r="B299" s="0" t="s">
        <v>4022</v>
      </c>
      <c r="C299" s="0" t="s">
        <v>4023</v>
      </c>
      <c r="D299" s="0" t="s">
        <v>3801</v>
      </c>
      <c r="E299" s="0" t="s">
        <v>4024</v>
      </c>
      <c r="F299" s="0" t="s">
        <v>3209</v>
      </c>
      <c r="G299" s="0" t="s">
        <v>4025</v>
      </c>
    </row>
    <row customHeight="1" ht="11.25">
      <c r="A300" s="0" t="s">
        <v>14</v>
      </c>
      <c r="B300" s="0" t="s">
        <v>4022</v>
      </c>
      <c r="C300" s="0" t="s">
        <v>4023</v>
      </c>
      <c r="D300" s="0" t="s">
        <v>4026</v>
      </c>
      <c r="E300" s="0" t="s">
        <v>4027</v>
      </c>
      <c r="F300" s="0" t="s">
        <v>3209</v>
      </c>
      <c r="G300" s="0" t="s">
        <v>4028</v>
      </c>
    </row>
    <row customHeight="1" ht="11.25">
      <c r="A301" s="0" t="s">
        <v>14</v>
      </c>
      <c r="B301" s="0" t="s">
        <v>4022</v>
      </c>
      <c r="C301" s="0" t="s">
        <v>4023</v>
      </c>
      <c r="D301" s="0" t="s">
        <v>4029</v>
      </c>
      <c r="E301" s="0" t="s">
        <v>4030</v>
      </c>
      <c r="F301" s="0" t="s">
        <v>3209</v>
      </c>
      <c r="G301" s="0" t="s">
        <v>4031</v>
      </c>
    </row>
    <row customHeight="1" ht="11.25">
      <c r="A302" s="0" t="s">
        <v>14</v>
      </c>
      <c r="B302" s="0" t="s">
        <v>4022</v>
      </c>
      <c r="C302" s="0" t="s">
        <v>4023</v>
      </c>
      <c r="D302" s="0" t="s">
        <v>4032</v>
      </c>
      <c r="E302" s="0" t="s">
        <v>4033</v>
      </c>
      <c r="F302" s="0" t="s">
        <v>3627</v>
      </c>
      <c r="G302" s="0" t="s">
        <v>4034</v>
      </c>
    </row>
    <row customHeight="1" ht="11.25">
      <c r="A303" s="0" t="s">
        <v>14</v>
      </c>
      <c r="B303" s="0" t="s">
        <v>4022</v>
      </c>
      <c r="C303" s="0" t="s">
        <v>4023</v>
      </c>
      <c r="D303" s="0" t="s">
        <v>4035</v>
      </c>
      <c r="E303" s="0" t="s">
        <v>4036</v>
      </c>
      <c r="F303" s="0" t="s">
        <v>3209</v>
      </c>
      <c r="G303" s="0" t="s">
        <v>4037</v>
      </c>
    </row>
    <row customHeight="1" ht="11.25">
      <c r="A304" s="0" t="s">
        <v>14</v>
      </c>
      <c r="B304" s="0" t="s">
        <v>4022</v>
      </c>
      <c r="C304" s="0" t="s">
        <v>4023</v>
      </c>
      <c r="D304" s="0" t="s">
        <v>4038</v>
      </c>
      <c r="E304" s="0" t="s">
        <v>4039</v>
      </c>
      <c r="F304" s="0" t="s">
        <v>3209</v>
      </c>
      <c r="G304" s="0" t="s">
        <v>4040</v>
      </c>
    </row>
    <row customHeight="1" ht="11.25">
      <c r="A305" s="0" t="s">
        <v>14</v>
      </c>
      <c r="B305" s="0" t="s">
        <v>4022</v>
      </c>
      <c r="C305" s="0" t="s">
        <v>4023</v>
      </c>
      <c r="D305" s="0" t="s">
        <v>3321</v>
      </c>
      <c r="E305" s="0" t="s">
        <v>4041</v>
      </c>
      <c r="F305" s="0" t="s">
        <v>3209</v>
      </c>
      <c r="G305" s="0" t="s">
        <v>4042</v>
      </c>
    </row>
    <row customHeight="1" ht="11.25">
      <c r="A306" s="0" t="s">
        <v>14</v>
      </c>
      <c r="B306" s="0" t="s">
        <v>4022</v>
      </c>
      <c r="C306" s="0" t="s">
        <v>4023</v>
      </c>
      <c r="D306" s="0" t="s">
        <v>4043</v>
      </c>
      <c r="E306" s="0" t="s">
        <v>4044</v>
      </c>
      <c r="F306" s="0" t="s">
        <v>3209</v>
      </c>
      <c r="G306" s="0" t="s">
        <v>4045</v>
      </c>
    </row>
    <row customHeight="1" ht="11.25">
      <c r="A307" s="0" t="s">
        <v>14</v>
      </c>
      <c r="B307" s="0" t="s">
        <v>4022</v>
      </c>
      <c r="C307" s="0" t="s">
        <v>4023</v>
      </c>
      <c r="D307" s="0" t="s">
        <v>4046</v>
      </c>
      <c r="E307" s="0" t="s">
        <v>4047</v>
      </c>
      <c r="F307" s="0" t="s">
        <v>3209</v>
      </c>
      <c r="G307" s="0" t="s">
        <v>4048</v>
      </c>
    </row>
    <row customHeight="1" ht="11.25">
      <c r="A308" s="0" t="s">
        <v>14</v>
      </c>
      <c r="B308" s="0" t="s">
        <v>4022</v>
      </c>
      <c r="C308" s="0" t="s">
        <v>4023</v>
      </c>
      <c r="D308" s="0" t="s">
        <v>4049</v>
      </c>
      <c r="E308" s="0" t="s">
        <v>4050</v>
      </c>
      <c r="F308" s="0" t="s">
        <v>3209</v>
      </c>
      <c r="G308" s="0" t="s">
        <v>4051</v>
      </c>
    </row>
    <row customHeight="1" ht="11.25">
      <c r="A309" s="0" t="s">
        <v>14</v>
      </c>
      <c r="B309" s="0" t="s">
        <v>4022</v>
      </c>
      <c r="C309" s="0" t="s">
        <v>4023</v>
      </c>
      <c r="D309" s="0" t="s">
        <v>4052</v>
      </c>
      <c r="E309" s="0" t="s">
        <v>4053</v>
      </c>
      <c r="F309" s="0" t="s">
        <v>3209</v>
      </c>
      <c r="G309" s="0" t="s">
        <v>4054</v>
      </c>
    </row>
    <row customHeight="1" ht="11.25">
      <c r="A310" s="0" t="s">
        <v>14</v>
      </c>
      <c r="B310" s="0" t="s">
        <v>4022</v>
      </c>
      <c r="C310" s="0" t="s">
        <v>4023</v>
      </c>
      <c r="D310" s="0" t="s">
        <v>4022</v>
      </c>
      <c r="E310" s="0" t="s">
        <v>4023</v>
      </c>
      <c r="F310" s="0" t="s">
        <v>3206</v>
      </c>
      <c r="G310" s="0" t="s">
        <v>4055</v>
      </c>
    </row>
    <row customHeight="1" ht="11.25">
      <c r="A311" s="0" t="s">
        <v>14</v>
      </c>
      <c r="B311" s="0" t="s">
        <v>4022</v>
      </c>
      <c r="C311" s="0" t="s">
        <v>4023</v>
      </c>
      <c r="D311" s="0" t="s">
        <v>4056</v>
      </c>
      <c r="E311" s="0" t="s">
        <v>4057</v>
      </c>
      <c r="F311" s="0" t="s">
        <v>3209</v>
      </c>
      <c r="G311" s="0" t="s">
        <v>4058</v>
      </c>
    </row>
    <row customHeight="1" ht="11.25">
      <c r="A312" s="0" t="s">
        <v>14</v>
      </c>
      <c r="B312" s="0" t="s">
        <v>4059</v>
      </c>
      <c r="C312" s="0" t="s">
        <v>4060</v>
      </c>
      <c r="D312" s="0" t="s">
        <v>4061</v>
      </c>
      <c r="E312" s="0" t="s">
        <v>4062</v>
      </c>
      <c r="F312" s="0" t="s">
        <v>3209</v>
      </c>
      <c r="G312" s="0" t="s">
        <v>4063</v>
      </c>
    </row>
    <row customHeight="1" ht="11.25">
      <c r="A313" s="0" t="s">
        <v>14</v>
      </c>
      <c r="B313" s="0" t="s">
        <v>4059</v>
      </c>
      <c r="C313" s="0" t="s">
        <v>4060</v>
      </c>
      <c r="D313" s="0" t="s">
        <v>3533</v>
      </c>
      <c r="E313" s="0" t="s">
        <v>4064</v>
      </c>
      <c r="F313" s="0" t="s">
        <v>3209</v>
      </c>
      <c r="G313" s="0" t="s">
        <v>4065</v>
      </c>
    </row>
    <row customHeight="1" ht="11.25">
      <c r="A314" s="0" t="s">
        <v>14</v>
      </c>
      <c r="B314" s="0" t="s">
        <v>4059</v>
      </c>
      <c r="C314" s="0" t="s">
        <v>4060</v>
      </c>
      <c r="D314" s="0" t="s">
        <v>4066</v>
      </c>
      <c r="E314" s="0" t="s">
        <v>4067</v>
      </c>
      <c r="F314" s="0" t="s">
        <v>3209</v>
      </c>
      <c r="G314" s="0" t="s">
        <v>4068</v>
      </c>
    </row>
    <row customHeight="1" ht="11.25">
      <c r="A315" s="0" t="s">
        <v>14</v>
      </c>
      <c r="B315" s="0" t="s">
        <v>4059</v>
      </c>
      <c r="C315" s="0" t="s">
        <v>4060</v>
      </c>
      <c r="D315" s="0" t="s">
        <v>3569</v>
      </c>
      <c r="E315" s="0" t="s">
        <v>4069</v>
      </c>
      <c r="F315" s="0" t="s">
        <v>3209</v>
      </c>
      <c r="G315" s="0" t="s">
        <v>4070</v>
      </c>
    </row>
    <row customHeight="1" ht="11.25">
      <c r="A316" s="0" t="s">
        <v>14</v>
      </c>
      <c r="B316" s="0" t="s">
        <v>4059</v>
      </c>
      <c r="C316" s="0" t="s">
        <v>4060</v>
      </c>
      <c r="D316" s="0" t="s">
        <v>3543</v>
      </c>
      <c r="E316" s="0" t="s">
        <v>4071</v>
      </c>
      <c r="F316" s="0" t="s">
        <v>3209</v>
      </c>
      <c r="G316" s="0" t="s">
        <v>4072</v>
      </c>
    </row>
    <row customHeight="1" ht="11.25">
      <c r="A317" s="0" t="s">
        <v>14</v>
      </c>
      <c r="B317" s="0" t="s">
        <v>4059</v>
      </c>
      <c r="C317" s="0" t="s">
        <v>4060</v>
      </c>
      <c r="D317" s="0" t="s">
        <v>4073</v>
      </c>
      <c r="E317" s="0" t="s">
        <v>4074</v>
      </c>
      <c r="F317" s="0" t="s">
        <v>3209</v>
      </c>
      <c r="G317" s="0" t="s">
        <v>4075</v>
      </c>
    </row>
    <row customHeight="1" ht="11.25">
      <c r="A318" s="0" t="s">
        <v>14</v>
      </c>
      <c r="B318" s="0" t="s">
        <v>4059</v>
      </c>
      <c r="C318" s="0" t="s">
        <v>4060</v>
      </c>
      <c r="D318" s="0" t="s">
        <v>4076</v>
      </c>
      <c r="E318" s="0" t="s">
        <v>4077</v>
      </c>
      <c r="F318" s="0" t="s">
        <v>3209</v>
      </c>
      <c r="G318" s="0" t="s">
        <v>4078</v>
      </c>
    </row>
    <row customHeight="1" ht="11.25">
      <c r="A319" s="0" t="s">
        <v>14</v>
      </c>
      <c r="B319" s="0" t="s">
        <v>4059</v>
      </c>
      <c r="C319" s="0" t="s">
        <v>4060</v>
      </c>
      <c r="D319" s="0" t="s">
        <v>4079</v>
      </c>
      <c r="E319" s="0" t="s">
        <v>4080</v>
      </c>
      <c r="F319" s="0" t="s">
        <v>3209</v>
      </c>
      <c r="G319" s="0" t="s">
        <v>4081</v>
      </c>
    </row>
    <row customHeight="1" ht="11.25">
      <c r="A320" s="0" t="s">
        <v>14</v>
      </c>
      <c r="B320" s="0" t="s">
        <v>4059</v>
      </c>
      <c r="C320" s="0" t="s">
        <v>4060</v>
      </c>
      <c r="D320" s="0" t="s">
        <v>4059</v>
      </c>
      <c r="E320" s="0" t="s">
        <v>4060</v>
      </c>
      <c r="F320" s="0" t="s">
        <v>3206</v>
      </c>
      <c r="G320" s="0" t="s">
        <v>4082</v>
      </c>
    </row>
    <row customHeight="1" ht="11.25">
      <c r="A321" s="0" t="s">
        <v>14</v>
      </c>
      <c r="B321" s="0" t="s">
        <v>4059</v>
      </c>
      <c r="C321" s="0" t="s">
        <v>4060</v>
      </c>
      <c r="D321" s="0" t="s">
        <v>3882</v>
      </c>
      <c r="E321" s="0" t="s">
        <v>4083</v>
      </c>
      <c r="F321" s="0" t="s">
        <v>3209</v>
      </c>
      <c r="G321" s="0" t="s">
        <v>4084</v>
      </c>
    </row>
    <row customHeight="1" ht="11.25">
      <c r="A322" s="0" t="s">
        <v>14</v>
      </c>
      <c r="B322" s="0" t="s">
        <v>4059</v>
      </c>
      <c r="C322" s="0" t="s">
        <v>4060</v>
      </c>
      <c r="D322" s="0" t="s">
        <v>4085</v>
      </c>
      <c r="E322" s="0" t="s">
        <v>4086</v>
      </c>
      <c r="F322" s="0" t="s">
        <v>3209</v>
      </c>
      <c r="G322" s="0" t="s">
        <v>4087</v>
      </c>
    </row>
    <row customHeight="1" ht="11.25">
      <c r="A323" s="0" t="s">
        <v>14</v>
      </c>
      <c r="B323" s="0" t="s">
        <v>4059</v>
      </c>
      <c r="C323" s="0" t="s">
        <v>4060</v>
      </c>
      <c r="D323" s="0" t="s">
        <v>3742</v>
      </c>
      <c r="E323" s="0" t="s">
        <v>4088</v>
      </c>
      <c r="F323" s="0" t="s">
        <v>3209</v>
      </c>
      <c r="G323" s="0" t="s">
        <v>4089</v>
      </c>
    </row>
    <row customHeight="1" ht="11.25">
      <c r="A324" s="0" t="s">
        <v>14</v>
      </c>
      <c r="B324" s="0" t="s">
        <v>4090</v>
      </c>
      <c r="C324" s="0" t="s">
        <v>4091</v>
      </c>
      <c r="D324" s="0" t="s">
        <v>4092</v>
      </c>
      <c r="E324" s="0" t="s">
        <v>4093</v>
      </c>
      <c r="F324" s="0" t="s">
        <v>3209</v>
      </c>
      <c r="G324" s="0" t="s">
        <v>4094</v>
      </c>
    </row>
    <row customHeight="1" ht="11.25">
      <c r="A325" s="0" t="s">
        <v>14</v>
      </c>
      <c r="B325" s="0" t="s">
        <v>4090</v>
      </c>
      <c r="C325" s="0" t="s">
        <v>4091</v>
      </c>
      <c r="D325" s="0" t="s">
        <v>3446</v>
      </c>
      <c r="E325" s="0" t="s">
        <v>4095</v>
      </c>
      <c r="F325" s="0" t="s">
        <v>3209</v>
      </c>
      <c r="G325" s="0" t="s">
        <v>4096</v>
      </c>
    </row>
    <row customHeight="1" ht="11.25">
      <c r="A326" s="0" t="s">
        <v>14</v>
      </c>
      <c r="B326" s="0" t="s">
        <v>4090</v>
      </c>
      <c r="C326" s="0" t="s">
        <v>4091</v>
      </c>
      <c r="D326" s="0" t="s">
        <v>4097</v>
      </c>
      <c r="E326" s="0" t="s">
        <v>4098</v>
      </c>
      <c r="F326" s="0" t="s">
        <v>3209</v>
      </c>
      <c r="G326" s="0" t="s">
        <v>4099</v>
      </c>
    </row>
    <row customHeight="1" ht="11.25">
      <c r="A327" s="0" t="s">
        <v>14</v>
      </c>
      <c r="B327" s="0" t="s">
        <v>4090</v>
      </c>
      <c r="C327" s="0" t="s">
        <v>4091</v>
      </c>
      <c r="D327" s="0" t="s">
        <v>4100</v>
      </c>
      <c r="E327" s="0" t="s">
        <v>4101</v>
      </c>
      <c r="F327" s="0" t="s">
        <v>3209</v>
      </c>
      <c r="G327" s="0" t="s">
        <v>4102</v>
      </c>
    </row>
    <row customHeight="1" ht="11.25">
      <c r="A328" s="0" t="s">
        <v>14</v>
      </c>
      <c r="B328" s="0" t="s">
        <v>4090</v>
      </c>
      <c r="C328" s="0" t="s">
        <v>4091</v>
      </c>
      <c r="D328" s="0" t="s">
        <v>4103</v>
      </c>
      <c r="E328" s="0" t="s">
        <v>4104</v>
      </c>
      <c r="F328" s="0" t="s">
        <v>3209</v>
      </c>
      <c r="G328" s="0" t="s">
        <v>4105</v>
      </c>
    </row>
    <row customHeight="1" ht="11.25">
      <c r="A329" s="0" t="s">
        <v>14</v>
      </c>
      <c r="B329" s="0" t="s">
        <v>4090</v>
      </c>
      <c r="C329" s="0" t="s">
        <v>4091</v>
      </c>
      <c r="D329" s="0" t="s">
        <v>4090</v>
      </c>
      <c r="E329" s="0" t="s">
        <v>4091</v>
      </c>
      <c r="F329" s="0" t="s">
        <v>3206</v>
      </c>
      <c r="G329" s="0" t="s">
        <v>4106</v>
      </c>
    </row>
    <row customHeight="1" ht="11.25">
      <c r="A330" s="0" t="s">
        <v>14</v>
      </c>
      <c r="B330" s="0" t="s">
        <v>4090</v>
      </c>
      <c r="C330" s="0" t="s">
        <v>4091</v>
      </c>
      <c r="D330" s="0" t="s">
        <v>4107</v>
      </c>
      <c r="E330" s="0" t="s">
        <v>4108</v>
      </c>
      <c r="F330" s="0" t="s">
        <v>3209</v>
      </c>
      <c r="G330" s="0" t="s">
        <v>4109</v>
      </c>
    </row>
    <row customHeight="1" ht="11.25">
      <c r="A331" s="0" t="s">
        <v>14</v>
      </c>
      <c r="B331" s="0" t="s">
        <v>4090</v>
      </c>
      <c r="C331" s="0" t="s">
        <v>4091</v>
      </c>
      <c r="D331" s="0" t="s">
        <v>4110</v>
      </c>
      <c r="E331" s="0" t="s">
        <v>4111</v>
      </c>
      <c r="F331" s="0" t="s">
        <v>3209</v>
      </c>
      <c r="G331" s="0" t="s">
        <v>4112</v>
      </c>
    </row>
    <row customHeight="1" ht="11.25">
      <c r="A332" s="0" t="s">
        <v>14</v>
      </c>
      <c r="B332" s="0" t="s">
        <v>4090</v>
      </c>
      <c r="C332" s="0" t="s">
        <v>4091</v>
      </c>
      <c r="D332" s="0" t="s">
        <v>4113</v>
      </c>
      <c r="E332" s="0" t="s">
        <v>4114</v>
      </c>
      <c r="F332" s="0" t="s">
        <v>3209</v>
      </c>
      <c r="G332" s="0" t="s">
        <v>4115</v>
      </c>
    </row>
    <row customHeight="1" ht="11.25">
      <c r="A333" s="0" t="s">
        <v>14</v>
      </c>
      <c r="B333" s="0" t="s">
        <v>4090</v>
      </c>
      <c r="C333" s="0" t="s">
        <v>4091</v>
      </c>
      <c r="D333" s="0" t="s">
        <v>4116</v>
      </c>
      <c r="E333" s="0" t="s">
        <v>4117</v>
      </c>
      <c r="F333" s="0" t="s">
        <v>3209</v>
      </c>
      <c r="G333" s="0" t="s">
        <v>4118</v>
      </c>
    </row>
    <row customHeight="1" ht="11.25">
      <c r="A334" s="0" t="s">
        <v>14</v>
      </c>
      <c r="B334" s="0" t="s">
        <v>4119</v>
      </c>
      <c r="C334" s="0" t="s">
        <v>4120</v>
      </c>
      <c r="D334" s="0" t="s">
        <v>4121</v>
      </c>
      <c r="E334" s="0" t="s">
        <v>4122</v>
      </c>
      <c r="F334" s="0" t="s">
        <v>3209</v>
      </c>
      <c r="G334" s="0" t="s">
        <v>4123</v>
      </c>
    </row>
    <row customHeight="1" ht="11.25">
      <c r="A335" s="0" t="s">
        <v>14</v>
      </c>
      <c r="B335" s="0" t="s">
        <v>4119</v>
      </c>
      <c r="C335" s="0" t="s">
        <v>4120</v>
      </c>
      <c r="D335" s="0" t="s">
        <v>4124</v>
      </c>
      <c r="E335" s="0" t="s">
        <v>4125</v>
      </c>
      <c r="F335" s="0" t="s">
        <v>3209</v>
      </c>
      <c r="G335" s="0" t="s">
        <v>4126</v>
      </c>
    </row>
    <row customHeight="1" ht="11.25">
      <c r="A336" s="0" t="s">
        <v>14</v>
      </c>
      <c r="B336" s="0" t="s">
        <v>4119</v>
      </c>
      <c r="C336" s="0" t="s">
        <v>4120</v>
      </c>
      <c r="D336" s="0" t="s">
        <v>4127</v>
      </c>
      <c r="E336" s="0" t="s">
        <v>4128</v>
      </c>
      <c r="F336" s="0" t="s">
        <v>3209</v>
      </c>
      <c r="G336" s="0" t="s">
        <v>4129</v>
      </c>
    </row>
    <row customHeight="1" ht="11.25">
      <c r="A337" s="0" t="s">
        <v>14</v>
      </c>
      <c r="B337" s="0" t="s">
        <v>4119</v>
      </c>
      <c r="C337" s="0" t="s">
        <v>4120</v>
      </c>
      <c r="D337" s="0" t="s">
        <v>4130</v>
      </c>
      <c r="E337" s="0" t="s">
        <v>4131</v>
      </c>
      <c r="F337" s="0" t="s">
        <v>3209</v>
      </c>
      <c r="G337" s="0" t="s">
        <v>4132</v>
      </c>
    </row>
    <row customHeight="1" ht="11.25">
      <c r="A338" s="0" t="s">
        <v>14</v>
      </c>
      <c r="B338" s="0" t="s">
        <v>4119</v>
      </c>
      <c r="C338" s="0" t="s">
        <v>4120</v>
      </c>
      <c r="D338" s="0" t="s">
        <v>3702</v>
      </c>
      <c r="E338" s="0" t="s">
        <v>4133</v>
      </c>
      <c r="F338" s="0" t="s">
        <v>3209</v>
      </c>
      <c r="G338" s="0" t="s">
        <v>4134</v>
      </c>
    </row>
    <row customHeight="1" ht="11.25">
      <c r="A339" s="0" t="s">
        <v>14</v>
      </c>
      <c r="B339" s="0" t="s">
        <v>4119</v>
      </c>
      <c r="C339" s="0" t="s">
        <v>4120</v>
      </c>
      <c r="D339" s="0" t="s">
        <v>4135</v>
      </c>
      <c r="E339" s="0" t="s">
        <v>4136</v>
      </c>
      <c r="F339" s="0" t="s">
        <v>3209</v>
      </c>
      <c r="G339" s="0" t="s">
        <v>4137</v>
      </c>
    </row>
    <row customHeight="1" ht="11.25">
      <c r="A340" s="0" t="s">
        <v>14</v>
      </c>
      <c r="B340" s="0" t="s">
        <v>4119</v>
      </c>
      <c r="C340" s="0" t="s">
        <v>4120</v>
      </c>
      <c r="D340" s="0" t="s">
        <v>4138</v>
      </c>
      <c r="E340" s="0" t="s">
        <v>4139</v>
      </c>
      <c r="F340" s="0" t="s">
        <v>3209</v>
      </c>
      <c r="G340" s="0" t="s">
        <v>4140</v>
      </c>
    </row>
    <row customHeight="1" ht="11.25">
      <c r="A341" s="0" t="s">
        <v>14</v>
      </c>
      <c r="B341" s="0" t="s">
        <v>4119</v>
      </c>
      <c r="C341" s="0" t="s">
        <v>4120</v>
      </c>
      <c r="D341" s="0" t="s">
        <v>4119</v>
      </c>
      <c r="E341" s="0" t="s">
        <v>4120</v>
      </c>
      <c r="F341" s="0" t="s">
        <v>3206</v>
      </c>
      <c r="G341" s="0" t="s">
        <v>4141</v>
      </c>
    </row>
    <row customHeight="1" ht="11.25">
      <c r="A342" s="0" t="s">
        <v>14</v>
      </c>
      <c r="B342" s="0" t="s">
        <v>4119</v>
      </c>
      <c r="C342" s="0" t="s">
        <v>4120</v>
      </c>
      <c r="D342" s="0" t="s">
        <v>4142</v>
      </c>
      <c r="E342" s="0" t="s">
        <v>4143</v>
      </c>
      <c r="F342" s="0" t="s">
        <v>3248</v>
      </c>
      <c r="G342" s="0" t="s">
        <v>4144</v>
      </c>
    </row>
    <row customHeight="1" ht="11.25">
      <c r="A343" s="0" t="s">
        <v>14</v>
      </c>
      <c r="B343" s="0" t="s">
        <v>4119</v>
      </c>
      <c r="C343" s="0" t="s">
        <v>4120</v>
      </c>
      <c r="D343" s="0" t="s">
        <v>4145</v>
      </c>
      <c r="E343" s="0" t="s">
        <v>4146</v>
      </c>
      <c r="F343" s="0" t="s">
        <v>3209</v>
      </c>
      <c r="G343" s="0" t="s">
        <v>4147</v>
      </c>
    </row>
    <row customHeight="1" ht="11.25">
      <c r="A344" s="0" t="s">
        <v>14</v>
      </c>
      <c r="B344" s="0" t="s">
        <v>4119</v>
      </c>
      <c r="C344" s="0" t="s">
        <v>4120</v>
      </c>
      <c r="D344" s="0" t="s">
        <v>4148</v>
      </c>
      <c r="E344" s="0" t="s">
        <v>4149</v>
      </c>
      <c r="F344" s="0" t="s">
        <v>3209</v>
      </c>
      <c r="G344" s="0" t="s">
        <v>4150</v>
      </c>
    </row>
    <row customHeight="1" ht="11.25">
      <c r="A345" s="0" t="s">
        <v>14</v>
      </c>
      <c r="B345" s="0" t="s">
        <v>4151</v>
      </c>
      <c r="C345" s="0" t="s">
        <v>4152</v>
      </c>
      <c r="D345" s="0" t="s">
        <v>4153</v>
      </c>
      <c r="E345" s="0" t="s">
        <v>4154</v>
      </c>
      <c r="F345" s="0" t="s">
        <v>3209</v>
      </c>
      <c r="G345" s="0" t="s">
        <v>4155</v>
      </c>
    </row>
    <row customHeight="1" ht="11.25">
      <c r="A346" s="0" t="s">
        <v>14</v>
      </c>
      <c r="B346" s="0" t="s">
        <v>4151</v>
      </c>
      <c r="C346" s="0" t="s">
        <v>4152</v>
      </c>
      <c r="D346" s="0" t="s">
        <v>4156</v>
      </c>
      <c r="E346" s="0" t="s">
        <v>4157</v>
      </c>
      <c r="F346" s="0" t="s">
        <v>3209</v>
      </c>
      <c r="G346" s="0" t="s">
        <v>4158</v>
      </c>
    </row>
    <row customHeight="1" ht="11.25">
      <c r="A347" s="0" t="s">
        <v>14</v>
      </c>
      <c r="B347" s="0" t="s">
        <v>4151</v>
      </c>
      <c r="C347" s="0" t="s">
        <v>4152</v>
      </c>
      <c r="D347" s="0" t="s">
        <v>3597</v>
      </c>
      <c r="E347" s="0" t="s">
        <v>4159</v>
      </c>
      <c r="F347" s="0" t="s">
        <v>3209</v>
      </c>
      <c r="G347" s="0" t="s">
        <v>4160</v>
      </c>
    </row>
    <row customHeight="1" ht="11.25">
      <c r="A348" s="0" t="s">
        <v>14</v>
      </c>
      <c r="B348" s="0" t="s">
        <v>4151</v>
      </c>
      <c r="C348" s="0" t="s">
        <v>4152</v>
      </c>
      <c r="D348" s="0" t="s">
        <v>3672</v>
      </c>
      <c r="E348" s="0" t="s">
        <v>4161</v>
      </c>
      <c r="F348" s="0" t="s">
        <v>3209</v>
      </c>
      <c r="G348" s="0" t="s">
        <v>4162</v>
      </c>
    </row>
    <row customHeight="1" ht="11.25">
      <c r="A349" s="0" t="s">
        <v>14</v>
      </c>
      <c r="B349" s="0" t="s">
        <v>4151</v>
      </c>
      <c r="C349" s="0" t="s">
        <v>4152</v>
      </c>
      <c r="D349" s="0" t="s">
        <v>4163</v>
      </c>
      <c r="E349" s="0" t="s">
        <v>4164</v>
      </c>
      <c r="F349" s="0" t="s">
        <v>3209</v>
      </c>
      <c r="G349" s="0" t="s">
        <v>4165</v>
      </c>
    </row>
    <row customHeight="1" ht="11.25">
      <c r="A350" s="0" t="s">
        <v>14</v>
      </c>
      <c r="B350" s="0" t="s">
        <v>4151</v>
      </c>
      <c r="C350" s="0" t="s">
        <v>4152</v>
      </c>
      <c r="D350" s="0" t="s">
        <v>4166</v>
      </c>
      <c r="E350" s="0" t="s">
        <v>4167</v>
      </c>
      <c r="F350" s="0" t="s">
        <v>3209</v>
      </c>
      <c r="G350" s="0" t="s">
        <v>4168</v>
      </c>
    </row>
    <row customHeight="1" ht="11.25">
      <c r="A351" s="0" t="s">
        <v>14</v>
      </c>
      <c r="B351" s="0" t="s">
        <v>4151</v>
      </c>
      <c r="C351" s="0" t="s">
        <v>4152</v>
      </c>
      <c r="D351" s="0" t="s">
        <v>3675</v>
      </c>
      <c r="E351" s="0" t="s">
        <v>4169</v>
      </c>
      <c r="F351" s="0" t="s">
        <v>3209</v>
      </c>
      <c r="G351" s="0" t="s">
        <v>4170</v>
      </c>
    </row>
    <row customHeight="1" ht="11.25">
      <c r="A352" s="0" t="s">
        <v>14</v>
      </c>
      <c r="B352" s="0" t="s">
        <v>4151</v>
      </c>
      <c r="C352" s="0" t="s">
        <v>4152</v>
      </c>
      <c r="D352" s="0" t="s">
        <v>4171</v>
      </c>
      <c r="E352" s="0" t="s">
        <v>4172</v>
      </c>
      <c r="F352" s="0" t="s">
        <v>3209</v>
      </c>
      <c r="G352" s="0" t="s">
        <v>4173</v>
      </c>
    </row>
    <row customHeight="1" ht="11.25">
      <c r="A353" s="0" t="s">
        <v>14</v>
      </c>
      <c r="B353" s="0" t="s">
        <v>4151</v>
      </c>
      <c r="C353" s="0" t="s">
        <v>4152</v>
      </c>
      <c r="D353" s="0" t="s">
        <v>4174</v>
      </c>
      <c r="E353" s="0" t="s">
        <v>4175</v>
      </c>
      <c r="F353" s="0" t="s">
        <v>3209</v>
      </c>
      <c r="G353" s="0" t="s">
        <v>4176</v>
      </c>
    </row>
    <row customHeight="1" ht="11.25">
      <c r="A354" s="0" t="s">
        <v>14</v>
      </c>
      <c r="B354" s="0" t="s">
        <v>4151</v>
      </c>
      <c r="C354" s="0" t="s">
        <v>4152</v>
      </c>
      <c r="D354" s="0" t="s">
        <v>4151</v>
      </c>
      <c r="E354" s="0" t="s">
        <v>4152</v>
      </c>
      <c r="F354" s="0" t="s">
        <v>3206</v>
      </c>
      <c r="G354" s="0" t="s">
        <v>4177</v>
      </c>
    </row>
    <row customHeight="1" ht="11.25">
      <c r="A355" s="0" t="s">
        <v>14</v>
      </c>
      <c r="B355" s="0" t="s">
        <v>4151</v>
      </c>
      <c r="C355" s="0" t="s">
        <v>4152</v>
      </c>
      <c r="D355" s="0" t="s">
        <v>4178</v>
      </c>
      <c r="E355" s="0" t="s">
        <v>4179</v>
      </c>
      <c r="F355" s="0" t="s">
        <v>3209</v>
      </c>
      <c r="G355" s="0" t="s">
        <v>4180</v>
      </c>
    </row>
    <row customHeight="1" ht="11.25">
      <c r="A356" s="0" t="s">
        <v>14</v>
      </c>
      <c r="B356" s="0" t="s">
        <v>4181</v>
      </c>
      <c r="C356" s="0" t="s">
        <v>4182</v>
      </c>
      <c r="D356" s="0" t="s">
        <v>4183</v>
      </c>
      <c r="E356" s="0" t="s">
        <v>4184</v>
      </c>
      <c r="F356" s="0" t="s">
        <v>3209</v>
      </c>
      <c r="G356" s="0" t="s">
        <v>4185</v>
      </c>
    </row>
    <row customHeight="1" ht="11.25">
      <c r="A357" s="0" t="s">
        <v>14</v>
      </c>
      <c r="B357" s="0" t="s">
        <v>4181</v>
      </c>
      <c r="C357" s="0" t="s">
        <v>4182</v>
      </c>
      <c r="D357" s="0" t="s">
        <v>4186</v>
      </c>
      <c r="E357" s="0" t="s">
        <v>4187</v>
      </c>
      <c r="F357" s="0" t="s">
        <v>3209</v>
      </c>
      <c r="G357" s="0" t="s">
        <v>4188</v>
      </c>
    </row>
    <row customHeight="1" ht="11.25">
      <c r="A358" s="0" t="s">
        <v>14</v>
      </c>
      <c r="B358" s="0" t="s">
        <v>4181</v>
      </c>
      <c r="C358" s="0" t="s">
        <v>4182</v>
      </c>
      <c r="D358" s="0" t="s">
        <v>4189</v>
      </c>
      <c r="E358" s="0" t="s">
        <v>4190</v>
      </c>
      <c r="F358" s="0" t="s">
        <v>3209</v>
      </c>
      <c r="G358" s="0" t="s">
        <v>4191</v>
      </c>
    </row>
    <row customHeight="1" ht="11.25">
      <c r="A359" s="0" t="s">
        <v>14</v>
      </c>
      <c r="B359" s="0" t="s">
        <v>4181</v>
      </c>
      <c r="C359" s="0" t="s">
        <v>4182</v>
      </c>
      <c r="D359" s="0" t="s">
        <v>3831</v>
      </c>
      <c r="E359" s="0" t="s">
        <v>4192</v>
      </c>
      <c r="F359" s="0" t="s">
        <v>3209</v>
      </c>
      <c r="G359" s="0" t="s">
        <v>4193</v>
      </c>
    </row>
    <row customHeight="1" ht="11.25">
      <c r="A360" s="0" t="s">
        <v>14</v>
      </c>
      <c r="B360" s="0" t="s">
        <v>4181</v>
      </c>
      <c r="C360" s="0" t="s">
        <v>4182</v>
      </c>
      <c r="D360" s="0" t="s">
        <v>3575</v>
      </c>
      <c r="E360" s="0" t="s">
        <v>4194</v>
      </c>
      <c r="F360" s="0" t="s">
        <v>3209</v>
      </c>
      <c r="G360" s="0" t="s">
        <v>4195</v>
      </c>
    </row>
    <row customHeight="1" ht="11.25">
      <c r="A361" s="0" t="s">
        <v>14</v>
      </c>
      <c r="B361" s="0" t="s">
        <v>4181</v>
      </c>
      <c r="C361" s="0" t="s">
        <v>4182</v>
      </c>
      <c r="D361" s="0" t="s">
        <v>4181</v>
      </c>
      <c r="E361" s="0" t="s">
        <v>4182</v>
      </c>
      <c r="F361" s="0" t="s">
        <v>3206</v>
      </c>
      <c r="G361" s="0" t="s">
        <v>4196</v>
      </c>
    </row>
    <row customHeight="1" ht="11.25">
      <c r="A362" s="0" t="s">
        <v>14</v>
      </c>
      <c r="B362" s="0" t="s">
        <v>4181</v>
      </c>
      <c r="C362" s="0" t="s">
        <v>4182</v>
      </c>
      <c r="D362" s="0" t="s">
        <v>4197</v>
      </c>
      <c r="E362" s="0" t="s">
        <v>4198</v>
      </c>
      <c r="F362" s="0" t="s">
        <v>3209</v>
      </c>
      <c r="G362" s="0" t="s">
        <v>4199</v>
      </c>
    </row>
    <row customHeight="1" ht="11.25">
      <c r="A363" s="0" t="s">
        <v>14</v>
      </c>
      <c r="B363" s="0" t="s">
        <v>4200</v>
      </c>
      <c r="C363" s="0" t="s">
        <v>4201</v>
      </c>
      <c r="D363" s="0" t="s">
        <v>4121</v>
      </c>
      <c r="E363" s="0" t="s">
        <v>4202</v>
      </c>
      <c r="F363" s="0" t="s">
        <v>3209</v>
      </c>
      <c r="G363" s="0" t="s">
        <v>4203</v>
      </c>
    </row>
    <row customHeight="1" ht="11.25">
      <c r="A364" s="0" t="s">
        <v>14</v>
      </c>
      <c r="B364" s="0" t="s">
        <v>4200</v>
      </c>
      <c r="C364" s="0" t="s">
        <v>4201</v>
      </c>
      <c r="D364" s="0" t="s">
        <v>4204</v>
      </c>
      <c r="E364" s="0" t="s">
        <v>4205</v>
      </c>
      <c r="F364" s="0" t="s">
        <v>3209</v>
      </c>
      <c r="G364" s="0" t="s">
        <v>4206</v>
      </c>
    </row>
    <row customHeight="1" ht="11.25">
      <c r="A365" s="0" t="s">
        <v>14</v>
      </c>
      <c r="B365" s="0" t="s">
        <v>4200</v>
      </c>
      <c r="C365" s="0" t="s">
        <v>4201</v>
      </c>
      <c r="D365" s="0" t="s">
        <v>3810</v>
      </c>
      <c r="E365" s="0" t="s">
        <v>4207</v>
      </c>
      <c r="F365" s="0" t="s">
        <v>3209</v>
      </c>
      <c r="G365" s="0" t="s">
        <v>4208</v>
      </c>
    </row>
    <row customHeight="1" ht="11.25">
      <c r="A366" s="0" t="s">
        <v>14</v>
      </c>
      <c r="B366" s="0" t="s">
        <v>4200</v>
      </c>
      <c r="C366" s="0" t="s">
        <v>4201</v>
      </c>
      <c r="D366" s="0" t="s">
        <v>4209</v>
      </c>
      <c r="E366" s="0" t="s">
        <v>4210</v>
      </c>
      <c r="F366" s="0" t="s">
        <v>3209</v>
      </c>
      <c r="G366" s="0" t="s">
        <v>4211</v>
      </c>
    </row>
    <row customHeight="1" ht="11.25">
      <c r="A367" s="0" t="s">
        <v>14</v>
      </c>
      <c r="B367" s="0" t="s">
        <v>4200</v>
      </c>
      <c r="C367" s="0" t="s">
        <v>4201</v>
      </c>
      <c r="D367" s="0" t="s">
        <v>4212</v>
      </c>
      <c r="E367" s="0" t="s">
        <v>4213</v>
      </c>
      <c r="F367" s="0" t="s">
        <v>3209</v>
      </c>
      <c r="G367" s="0" t="s">
        <v>4214</v>
      </c>
    </row>
    <row customHeight="1" ht="11.25">
      <c r="A368" s="0" t="s">
        <v>14</v>
      </c>
      <c r="B368" s="0" t="s">
        <v>4200</v>
      </c>
      <c r="C368" s="0" t="s">
        <v>4201</v>
      </c>
      <c r="D368" s="0" t="s">
        <v>3279</v>
      </c>
      <c r="E368" s="0" t="s">
        <v>4215</v>
      </c>
      <c r="F368" s="0" t="s">
        <v>3209</v>
      </c>
      <c r="G368" s="0" t="s">
        <v>4216</v>
      </c>
    </row>
    <row customHeight="1" ht="11.25">
      <c r="A369" s="0" t="s">
        <v>14</v>
      </c>
      <c r="B369" s="0" t="s">
        <v>4200</v>
      </c>
      <c r="C369" s="0" t="s">
        <v>4201</v>
      </c>
      <c r="D369" s="0" t="s">
        <v>4217</v>
      </c>
      <c r="E369" s="0" t="s">
        <v>4218</v>
      </c>
      <c r="F369" s="0" t="s">
        <v>3209</v>
      </c>
      <c r="G369" s="0" t="s">
        <v>4219</v>
      </c>
    </row>
    <row customHeight="1" ht="11.25">
      <c r="A370" s="0" t="s">
        <v>14</v>
      </c>
      <c r="B370" s="0" t="s">
        <v>4200</v>
      </c>
      <c r="C370" s="0" t="s">
        <v>4201</v>
      </c>
      <c r="D370" s="0" t="s">
        <v>4220</v>
      </c>
      <c r="E370" s="0" t="s">
        <v>4221</v>
      </c>
      <c r="F370" s="0" t="s">
        <v>3209</v>
      </c>
      <c r="G370" s="0" t="s">
        <v>4222</v>
      </c>
    </row>
    <row customHeight="1" ht="11.25">
      <c r="A371" s="0" t="s">
        <v>14</v>
      </c>
      <c r="B371" s="0" t="s">
        <v>4200</v>
      </c>
      <c r="C371" s="0" t="s">
        <v>4201</v>
      </c>
      <c r="D371" s="0" t="s">
        <v>4200</v>
      </c>
      <c r="E371" s="0" t="s">
        <v>4201</v>
      </c>
      <c r="F371" s="0" t="s">
        <v>3206</v>
      </c>
      <c r="G371" s="0" t="s">
        <v>4223</v>
      </c>
    </row>
    <row customHeight="1" ht="11.25">
      <c r="A372" s="0" t="s">
        <v>14</v>
      </c>
      <c r="B372" s="0" t="s">
        <v>4200</v>
      </c>
      <c r="C372" s="0" t="s">
        <v>4201</v>
      </c>
      <c r="D372" s="0" t="s">
        <v>4224</v>
      </c>
      <c r="E372" s="0" t="s">
        <v>4225</v>
      </c>
      <c r="F372" s="0" t="s">
        <v>3248</v>
      </c>
      <c r="G372" s="0" t="s">
        <v>4226</v>
      </c>
    </row>
    <row customHeight="1" ht="11.25">
      <c r="A373" s="0" t="s">
        <v>14</v>
      </c>
      <c r="B373" s="0" t="s">
        <v>4200</v>
      </c>
      <c r="C373" s="0" t="s">
        <v>4201</v>
      </c>
      <c r="D373" s="0" t="s">
        <v>4227</v>
      </c>
      <c r="E373" s="0" t="s">
        <v>4228</v>
      </c>
      <c r="F373" s="0" t="s">
        <v>3209</v>
      </c>
      <c r="G373" s="0" t="s">
        <v>4229</v>
      </c>
    </row>
    <row customHeight="1" ht="11.25">
      <c r="A374" s="0" t="s">
        <v>14</v>
      </c>
      <c r="B374" s="0" t="s">
        <v>4200</v>
      </c>
      <c r="C374" s="0" t="s">
        <v>4201</v>
      </c>
      <c r="D374" s="0" t="s">
        <v>4230</v>
      </c>
      <c r="E374" s="0" t="s">
        <v>4231</v>
      </c>
      <c r="F374" s="0" t="s">
        <v>3209</v>
      </c>
      <c r="G374" s="0" t="s">
        <v>4232</v>
      </c>
    </row>
    <row customHeight="1" ht="11.25">
      <c r="A375" s="0" t="s">
        <v>14</v>
      </c>
      <c r="B375" s="0" t="s">
        <v>4233</v>
      </c>
      <c r="C375" s="0" t="s">
        <v>4234</v>
      </c>
      <c r="D375" s="0" t="s">
        <v>4235</v>
      </c>
      <c r="E375" s="0" t="s">
        <v>4236</v>
      </c>
      <c r="F375" s="0" t="s">
        <v>3209</v>
      </c>
      <c r="G375" s="0" t="s">
        <v>4237</v>
      </c>
    </row>
    <row customHeight="1" ht="11.25">
      <c r="A376" s="0" t="s">
        <v>14</v>
      </c>
      <c r="B376" s="0" t="s">
        <v>4233</v>
      </c>
      <c r="C376" s="0" t="s">
        <v>4234</v>
      </c>
      <c r="D376" s="0" t="s">
        <v>4238</v>
      </c>
      <c r="E376" s="0" t="s">
        <v>4239</v>
      </c>
      <c r="F376" s="0" t="s">
        <v>3209</v>
      </c>
      <c r="G376" s="0" t="s">
        <v>4240</v>
      </c>
    </row>
    <row customHeight="1" ht="11.25">
      <c r="A377" s="0" t="s">
        <v>14</v>
      </c>
      <c r="B377" s="0" t="s">
        <v>4233</v>
      </c>
      <c r="C377" s="0" t="s">
        <v>4234</v>
      </c>
      <c r="D377" s="0" t="s">
        <v>4241</v>
      </c>
      <c r="E377" s="0" t="s">
        <v>4242</v>
      </c>
      <c r="F377" s="0" t="s">
        <v>3209</v>
      </c>
      <c r="G377" s="0" t="s">
        <v>4243</v>
      </c>
    </row>
    <row customHeight="1" ht="11.25">
      <c r="A378" s="0" t="s">
        <v>14</v>
      </c>
      <c r="B378" s="0" t="s">
        <v>4233</v>
      </c>
      <c r="C378" s="0" t="s">
        <v>4234</v>
      </c>
      <c r="D378" s="0" t="s">
        <v>4244</v>
      </c>
      <c r="E378" s="0" t="s">
        <v>4245</v>
      </c>
      <c r="F378" s="0" t="s">
        <v>3209</v>
      </c>
      <c r="G378" s="0" t="s">
        <v>4246</v>
      </c>
    </row>
    <row customHeight="1" ht="11.25">
      <c r="A379" s="0" t="s">
        <v>14</v>
      </c>
      <c r="B379" s="0" t="s">
        <v>4233</v>
      </c>
      <c r="C379" s="0" t="s">
        <v>4234</v>
      </c>
      <c r="D379" s="0" t="s">
        <v>4247</v>
      </c>
      <c r="E379" s="0" t="s">
        <v>4248</v>
      </c>
      <c r="F379" s="0" t="s">
        <v>3209</v>
      </c>
      <c r="G379" s="0" t="s">
        <v>4249</v>
      </c>
    </row>
    <row customHeight="1" ht="11.25">
      <c r="A380" s="0" t="s">
        <v>14</v>
      </c>
      <c r="B380" s="0" t="s">
        <v>4233</v>
      </c>
      <c r="C380" s="0" t="s">
        <v>4234</v>
      </c>
      <c r="D380" s="0" t="s">
        <v>4250</v>
      </c>
      <c r="E380" s="0" t="s">
        <v>4251</v>
      </c>
      <c r="F380" s="0" t="s">
        <v>3209</v>
      </c>
      <c r="G380" s="0" t="s">
        <v>4252</v>
      </c>
    </row>
    <row customHeight="1" ht="11.25">
      <c r="A381" s="0" t="s">
        <v>14</v>
      </c>
      <c r="B381" s="0" t="s">
        <v>4233</v>
      </c>
      <c r="C381" s="0" t="s">
        <v>4234</v>
      </c>
      <c r="D381" s="0" t="s">
        <v>4253</v>
      </c>
      <c r="E381" s="0" t="s">
        <v>4254</v>
      </c>
      <c r="F381" s="0" t="s">
        <v>3209</v>
      </c>
      <c r="G381" s="0" t="s">
        <v>4255</v>
      </c>
    </row>
    <row customHeight="1" ht="11.25">
      <c r="A382" s="0" t="s">
        <v>14</v>
      </c>
      <c r="B382" s="0" t="s">
        <v>4233</v>
      </c>
      <c r="C382" s="0" t="s">
        <v>4234</v>
      </c>
      <c r="D382" s="0" t="s">
        <v>4233</v>
      </c>
      <c r="E382" s="0" t="s">
        <v>4234</v>
      </c>
      <c r="F382" s="0" t="s">
        <v>3206</v>
      </c>
      <c r="G382" s="0" t="s">
        <v>4256</v>
      </c>
    </row>
    <row customHeight="1" ht="11.25">
      <c r="A383" s="0" t="s">
        <v>14</v>
      </c>
      <c r="B383" s="0" t="s">
        <v>4233</v>
      </c>
      <c r="C383" s="0" t="s">
        <v>4234</v>
      </c>
      <c r="D383" s="0" t="s">
        <v>4257</v>
      </c>
      <c r="E383" s="0" t="s">
        <v>4258</v>
      </c>
      <c r="F383" s="0" t="s">
        <v>3248</v>
      </c>
      <c r="G383" s="0" t="s">
        <v>4259</v>
      </c>
    </row>
    <row customHeight="1" ht="11.25">
      <c r="A384" s="0" t="s">
        <v>14</v>
      </c>
      <c r="B384" s="0" t="s">
        <v>4233</v>
      </c>
      <c r="C384" s="0" t="s">
        <v>4234</v>
      </c>
      <c r="D384" s="0" t="s">
        <v>4260</v>
      </c>
      <c r="E384" s="0" t="s">
        <v>4261</v>
      </c>
      <c r="F384" s="0" t="s">
        <v>3209</v>
      </c>
      <c r="G384" s="0" t="s">
        <v>4262</v>
      </c>
    </row>
    <row customHeight="1" ht="11.25">
      <c r="A385" s="0" t="s">
        <v>14</v>
      </c>
      <c r="B385" s="0" t="s">
        <v>4233</v>
      </c>
      <c r="C385" s="0" t="s">
        <v>4234</v>
      </c>
      <c r="D385" s="0" t="s">
        <v>4263</v>
      </c>
      <c r="E385" s="0" t="s">
        <v>4264</v>
      </c>
      <c r="F385" s="0" t="s">
        <v>3209</v>
      </c>
      <c r="G385" s="0" t="s">
        <v>4265</v>
      </c>
    </row>
    <row customHeight="1" ht="11.25">
      <c r="A386" s="0" t="s">
        <v>14</v>
      </c>
      <c r="B386" s="0" t="s">
        <v>4266</v>
      </c>
      <c r="C386" s="0" t="s">
        <v>4267</v>
      </c>
      <c r="D386" s="0" t="s">
        <v>4268</v>
      </c>
      <c r="E386" s="0" t="s">
        <v>4269</v>
      </c>
      <c r="F386" s="0" t="s">
        <v>3209</v>
      </c>
      <c r="G386" s="0" t="s">
        <v>4270</v>
      </c>
    </row>
    <row customHeight="1" ht="11.25">
      <c r="A387" s="0" t="s">
        <v>14</v>
      </c>
      <c r="B387" s="0" t="s">
        <v>4266</v>
      </c>
      <c r="C387" s="0" t="s">
        <v>4267</v>
      </c>
      <c r="D387" s="0" t="s">
        <v>4266</v>
      </c>
      <c r="E387" s="0" t="s">
        <v>4267</v>
      </c>
      <c r="F387" s="0" t="s">
        <v>3206</v>
      </c>
      <c r="G387" s="0" t="s">
        <v>4271</v>
      </c>
    </row>
    <row customHeight="1" ht="11.25">
      <c r="A388" s="0" t="s">
        <v>14</v>
      </c>
      <c r="B388" s="0" t="s">
        <v>4266</v>
      </c>
      <c r="C388" s="0" t="s">
        <v>4267</v>
      </c>
      <c r="D388" s="0" t="s">
        <v>4272</v>
      </c>
      <c r="E388" s="0" t="s">
        <v>4273</v>
      </c>
      <c r="F388" s="0" t="s">
        <v>3209</v>
      </c>
      <c r="G388" s="0" t="s">
        <v>4274</v>
      </c>
    </row>
    <row customHeight="1" ht="11.25">
      <c r="A389" s="0" t="s">
        <v>14</v>
      </c>
      <c r="B389" s="0" t="s">
        <v>4266</v>
      </c>
      <c r="C389" s="0" t="s">
        <v>4267</v>
      </c>
      <c r="D389" s="0" t="s">
        <v>4275</v>
      </c>
      <c r="E389" s="0" t="s">
        <v>4276</v>
      </c>
      <c r="F389" s="0" t="s">
        <v>3209</v>
      </c>
      <c r="G389" s="0" t="s">
        <v>4277</v>
      </c>
    </row>
    <row customHeight="1" ht="11.25">
      <c r="A390" s="0" t="s">
        <v>14</v>
      </c>
      <c r="B390" s="0" t="s">
        <v>4278</v>
      </c>
      <c r="C390" s="0" t="s">
        <v>4279</v>
      </c>
      <c r="D390" s="0" t="s">
        <v>4280</v>
      </c>
      <c r="E390" s="0" t="s">
        <v>4281</v>
      </c>
      <c r="F390" s="0" t="s">
        <v>3209</v>
      </c>
      <c r="G390" s="0" t="s">
        <v>4282</v>
      </c>
    </row>
    <row customHeight="1" ht="11.25">
      <c r="A391" s="0" t="s">
        <v>14</v>
      </c>
      <c r="B391" s="0" t="s">
        <v>4278</v>
      </c>
      <c r="C391" s="0" t="s">
        <v>4279</v>
      </c>
      <c r="D391" s="0" t="s">
        <v>4283</v>
      </c>
      <c r="E391" s="0" t="s">
        <v>4284</v>
      </c>
      <c r="F391" s="0" t="s">
        <v>3209</v>
      </c>
      <c r="G391" s="0" t="s">
        <v>4285</v>
      </c>
    </row>
    <row customHeight="1" ht="11.25">
      <c r="A392" s="0" t="s">
        <v>14</v>
      </c>
      <c r="B392" s="0" t="s">
        <v>4278</v>
      </c>
      <c r="C392" s="0" t="s">
        <v>4279</v>
      </c>
      <c r="D392" s="0" t="s">
        <v>4286</v>
      </c>
      <c r="E392" s="0" t="s">
        <v>4287</v>
      </c>
      <c r="F392" s="0" t="s">
        <v>3209</v>
      </c>
      <c r="G392" s="0" t="s">
        <v>4288</v>
      </c>
    </row>
    <row customHeight="1" ht="11.25">
      <c r="A393" s="0" t="s">
        <v>14</v>
      </c>
      <c r="B393" s="0" t="s">
        <v>4278</v>
      </c>
      <c r="C393" s="0" t="s">
        <v>4279</v>
      </c>
      <c r="D393" s="0" t="s">
        <v>4289</v>
      </c>
      <c r="E393" s="0" t="s">
        <v>4290</v>
      </c>
      <c r="F393" s="0" t="s">
        <v>3209</v>
      </c>
      <c r="G393" s="0" t="s">
        <v>4291</v>
      </c>
    </row>
    <row customHeight="1" ht="11.25">
      <c r="A394" s="0" t="s">
        <v>14</v>
      </c>
      <c r="B394" s="0" t="s">
        <v>4278</v>
      </c>
      <c r="C394" s="0" t="s">
        <v>4279</v>
      </c>
      <c r="D394" s="0" t="s">
        <v>4292</v>
      </c>
      <c r="E394" s="0" t="s">
        <v>4293</v>
      </c>
      <c r="F394" s="0" t="s">
        <v>3209</v>
      </c>
      <c r="G394" s="0" t="s">
        <v>4294</v>
      </c>
    </row>
    <row customHeight="1" ht="11.25">
      <c r="A395" s="0" t="s">
        <v>14</v>
      </c>
      <c r="B395" s="0" t="s">
        <v>4278</v>
      </c>
      <c r="C395" s="0" t="s">
        <v>4279</v>
      </c>
      <c r="D395" s="0" t="s">
        <v>4295</v>
      </c>
      <c r="E395" s="0" t="s">
        <v>4296</v>
      </c>
      <c r="F395" s="0" t="s">
        <v>3209</v>
      </c>
      <c r="G395" s="0" t="s">
        <v>4297</v>
      </c>
    </row>
    <row customHeight="1" ht="11.25">
      <c r="A396" s="0" t="s">
        <v>14</v>
      </c>
      <c r="B396" s="0" t="s">
        <v>4278</v>
      </c>
      <c r="C396" s="0" t="s">
        <v>4279</v>
      </c>
      <c r="D396" s="0" t="s">
        <v>3639</v>
      </c>
      <c r="E396" s="0" t="s">
        <v>4298</v>
      </c>
      <c r="F396" s="0" t="s">
        <v>3209</v>
      </c>
      <c r="G396" s="0" t="s">
        <v>4299</v>
      </c>
    </row>
    <row customHeight="1" ht="11.25">
      <c r="A397" s="0" t="s">
        <v>14</v>
      </c>
      <c r="B397" s="0" t="s">
        <v>4278</v>
      </c>
      <c r="C397" s="0" t="s">
        <v>4279</v>
      </c>
      <c r="D397" s="0" t="s">
        <v>4300</v>
      </c>
      <c r="E397" s="0" t="s">
        <v>4301</v>
      </c>
      <c r="F397" s="0" t="s">
        <v>3209</v>
      </c>
      <c r="G397" s="0" t="s">
        <v>4302</v>
      </c>
    </row>
    <row customHeight="1" ht="11.25">
      <c r="A398" s="0" t="s">
        <v>14</v>
      </c>
      <c r="B398" s="0" t="s">
        <v>4278</v>
      </c>
      <c r="C398" s="0" t="s">
        <v>4279</v>
      </c>
      <c r="D398" s="0" t="s">
        <v>4303</v>
      </c>
      <c r="E398" s="0" t="s">
        <v>4304</v>
      </c>
      <c r="F398" s="0" t="s">
        <v>3209</v>
      </c>
      <c r="G398" s="0" t="s">
        <v>4305</v>
      </c>
    </row>
    <row customHeight="1" ht="11.25">
      <c r="A399" s="0" t="s">
        <v>14</v>
      </c>
      <c r="B399" s="0" t="s">
        <v>4278</v>
      </c>
      <c r="C399" s="0" t="s">
        <v>4279</v>
      </c>
      <c r="D399" s="0" t="s">
        <v>4278</v>
      </c>
      <c r="E399" s="0" t="s">
        <v>4279</v>
      </c>
      <c r="F399" s="0" t="s">
        <v>3206</v>
      </c>
      <c r="G399" s="0" t="s">
        <v>4306</v>
      </c>
    </row>
    <row customHeight="1" ht="11.25">
      <c r="A400" s="0" t="s">
        <v>14</v>
      </c>
      <c r="B400" s="0" t="s">
        <v>4278</v>
      </c>
      <c r="C400" s="0" t="s">
        <v>4279</v>
      </c>
      <c r="D400" s="0" t="s">
        <v>4307</v>
      </c>
      <c r="E400" s="0" t="s">
        <v>4308</v>
      </c>
      <c r="F400" s="0" t="s">
        <v>3209</v>
      </c>
      <c r="G400" s="0" t="s">
        <v>4309</v>
      </c>
    </row>
    <row customHeight="1" ht="11.25">
      <c r="A401" s="0" t="s">
        <v>14</v>
      </c>
      <c r="B401" s="0" t="s">
        <v>4310</v>
      </c>
      <c r="C401" s="0" t="s">
        <v>4311</v>
      </c>
      <c r="D401" s="0" t="s">
        <v>4312</v>
      </c>
      <c r="E401" s="0" t="s">
        <v>4313</v>
      </c>
      <c r="F401" s="0" t="s">
        <v>3209</v>
      </c>
      <c r="G401" s="0" t="s">
        <v>4314</v>
      </c>
    </row>
    <row customHeight="1" ht="11.25">
      <c r="A402" s="0" t="s">
        <v>14</v>
      </c>
      <c r="B402" s="0" t="s">
        <v>4310</v>
      </c>
      <c r="C402" s="0" t="s">
        <v>4311</v>
      </c>
      <c r="D402" s="0" t="s">
        <v>4315</v>
      </c>
      <c r="E402" s="0" t="s">
        <v>4316</v>
      </c>
      <c r="F402" s="0" t="s">
        <v>3209</v>
      </c>
      <c r="G402" s="0" t="s">
        <v>4317</v>
      </c>
    </row>
    <row customHeight="1" ht="11.25">
      <c r="A403" s="0" t="s">
        <v>14</v>
      </c>
      <c r="B403" s="0" t="s">
        <v>4310</v>
      </c>
      <c r="C403" s="0" t="s">
        <v>4311</v>
      </c>
      <c r="D403" s="0" t="s">
        <v>4318</v>
      </c>
      <c r="E403" s="0" t="s">
        <v>4319</v>
      </c>
      <c r="F403" s="0" t="s">
        <v>3209</v>
      </c>
      <c r="G403" s="0" t="s">
        <v>4320</v>
      </c>
    </row>
    <row customHeight="1" ht="11.25">
      <c r="A404" s="0" t="s">
        <v>14</v>
      </c>
      <c r="B404" s="0" t="s">
        <v>4310</v>
      </c>
      <c r="C404" s="0" t="s">
        <v>4311</v>
      </c>
      <c r="D404" s="0" t="s">
        <v>4321</v>
      </c>
      <c r="E404" s="0" t="s">
        <v>4322</v>
      </c>
      <c r="F404" s="0" t="s">
        <v>3209</v>
      </c>
      <c r="G404" s="0" t="s">
        <v>4323</v>
      </c>
    </row>
    <row customHeight="1" ht="11.25">
      <c r="A405" s="0" t="s">
        <v>14</v>
      </c>
      <c r="B405" s="0" t="s">
        <v>4310</v>
      </c>
      <c r="C405" s="0" t="s">
        <v>4311</v>
      </c>
      <c r="D405" s="0" t="s">
        <v>4324</v>
      </c>
      <c r="E405" s="0" t="s">
        <v>4325</v>
      </c>
      <c r="F405" s="0" t="s">
        <v>3209</v>
      </c>
      <c r="G405" s="0" t="s">
        <v>4326</v>
      </c>
    </row>
    <row customHeight="1" ht="11.25">
      <c r="A406" s="0" t="s">
        <v>14</v>
      </c>
      <c r="B406" s="0" t="s">
        <v>4310</v>
      </c>
      <c r="C406" s="0" t="s">
        <v>4311</v>
      </c>
      <c r="D406" s="0" t="s">
        <v>4327</v>
      </c>
      <c r="E406" s="0" t="s">
        <v>4328</v>
      </c>
      <c r="F406" s="0" t="s">
        <v>3209</v>
      </c>
      <c r="G406" s="0" t="s">
        <v>4329</v>
      </c>
    </row>
    <row customHeight="1" ht="11.25">
      <c r="A407" s="0" t="s">
        <v>14</v>
      </c>
      <c r="B407" s="0" t="s">
        <v>4310</v>
      </c>
      <c r="C407" s="0" t="s">
        <v>4311</v>
      </c>
      <c r="D407" s="0" t="s">
        <v>3739</v>
      </c>
      <c r="E407" s="0" t="s">
        <v>4330</v>
      </c>
      <c r="F407" s="0" t="s">
        <v>3209</v>
      </c>
      <c r="G407" s="0" t="s">
        <v>4331</v>
      </c>
    </row>
    <row customHeight="1" ht="11.25">
      <c r="A408" s="0" t="s">
        <v>14</v>
      </c>
      <c r="B408" s="0" t="s">
        <v>4310</v>
      </c>
      <c r="C408" s="0" t="s">
        <v>4311</v>
      </c>
      <c r="D408" s="0" t="s">
        <v>4332</v>
      </c>
      <c r="E408" s="0" t="s">
        <v>4333</v>
      </c>
      <c r="F408" s="0" t="s">
        <v>3209</v>
      </c>
      <c r="G408" s="0" t="s">
        <v>4334</v>
      </c>
    </row>
    <row customHeight="1" ht="11.25">
      <c r="A409" s="0" t="s">
        <v>14</v>
      </c>
      <c r="B409" s="0" t="s">
        <v>4310</v>
      </c>
      <c r="C409" s="0" t="s">
        <v>4311</v>
      </c>
      <c r="D409" s="0" t="s">
        <v>4145</v>
      </c>
      <c r="E409" s="0" t="s">
        <v>4335</v>
      </c>
      <c r="F409" s="0" t="s">
        <v>3209</v>
      </c>
      <c r="G409" s="0" t="s">
        <v>4336</v>
      </c>
    </row>
    <row customHeight="1" ht="11.25">
      <c r="A410" s="0" t="s">
        <v>14</v>
      </c>
      <c r="B410" s="0" t="s">
        <v>4310</v>
      </c>
      <c r="C410" s="0" t="s">
        <v>4311</v>
      </c>
      <c r="D410" s="0" t="s">
        <v>4310</v>
      </c>
      <c r="E410" s="0" t="s">
        <v>4311</v>
      </c>
      <c r="F410" s="0" t="s">
        <v>3206</v>
      </c>
      <c r="G410" s="0" t="s">
        <v>4337</v>
      </c>
    </row>
    <row customHeight="1" ht="11.25">
      <c r="A411" s="0" t="s">
        <v>14</v>
      </c>
      <c r="B411" s="0" t="s">
        <v>4310</v>
      </c>
      <c r="C411" s="0" t="s">
        <v>4311</v>
      </c>
      <c r="D411" s="0" t="s">
        <v>4338</v>
      </c>
      <c r="E411" s="0" t="s">
        <v>4339</v>
      </c>
      <c r="F411" s="0" t="s">
        <v>3209</v>
      </c>
      <c r="G411" s="0" t="s">
        <v>4340</v>
      </c>
    </row>
    <row customHeight="1" ht="11.25">
      <c r="A412" s="0" t="s">
        <v>14</v>
      </c>
      <c r="B412" s="0" t="s">
        <v>4310</v>
      </c>
      <c r="C412" s="0" t="s">
        <v>4311</v>
      </c>
      <c r="D412" s="0" t="s">
        <v>4341</v>
      </c>
      <c r="E412" s="0" t="s">
        <v>4342</v>
      </c>
      <c r="F412" s="0" t="s">
        <v>3209</v>
      </c>
      <c r="G412" s="0" t="s">
        <v>4343</v>
      </c>
    </row>
    <row customHeight="1" ht="11.25">
      <c r="A413" s="0" t="s">
        <v>14</v>
      </c>
      <c r="B413" s="0" t="s">
        <v>4344</v>
      </c>
      <c r="C413" s="0" t="s">
        <v>4345</v>
      </c>
      <c r="D413" s="0" t="s">
        <v>4346</v>
      </c>
      <c r="E413" s="0" t="s">
        <v>4347</v>
      </c>
      <c r="F413" s="0" t="s">
        <v>3209</v>
      </c>
      <c r="G413" s="0" t="s">
        <v>4348</v>
      </c>
    </row>
    <row customHeight="1" ht="11.25">
      <c r="A414" s="0" t="s">
        <v>14</v>
      </c>
      <c r="B414" s="0" t="s">
        <v>4344</v>
      </c>
      <c r="C414" s="0" t="s">
        <v>4345</v>
      </c>
      <c r="D414" s="0" t="s">
        <v>4349</v>
      </c>
      <c r="E414" s="0" t="s">
        <v>4350</v>
      </c>
      <c r="F414" s="0" t="s">
        <v>3209</v>
      </c>
      <c r="G414" s="0" t="s">
        <v>4351</v>
      </c>
    </row>
    <row customHeight="1" ht="11.25">
      <c r="A415" s="0" t="s">
        <v>14</v>
      </c>
      <c r="B415" s="0" t="s">
        <v>4344</v>
      </c>
      <c r="C415" s="0" t="s">
        <v>4345</v>
      </c>
      <c r="D415" s="0" t="s">
        <v>3931</v>
      </c>
      <c r="E415" s="0" t="s">
        <v>4352</v>
      </c>
      <c r="F415" s="0" t="s">
        <v>3209</v>
      </c>
      <c r="G415" s="0" t="s">
        <v>4353</v>
      </c>
    </row>
    <row customHeight="1" ht="11.25">
      <c r="A416" s="0" t="s">
        <v>14</v>
      </c>
      <c r="B416" s="0" t="s">
        <v>4344</v>
      </c>
      <c r="C416" s="0" t="s">
        <v>4345</v>
      </c>
      <c r="D416" s="0" t="s">
        <v>4354</v>
      </c>
      <c r="E416" s="0" t="s">
        <v>4355</v>
      </c>
      <c r="F416" s="0" t="s">
        <v>3209</v>
      </c>
      <c r="G416" s="0" t="s">
        <v>4356</v>
      </c>
    </row>
    <row customHeight="1" ht="11.25">
      <c r="A417" s="0" t="s">
        <v>14</v>
      </c>
      <c r="B417" s="0" t="s">
        <v>4344</v>
      </c>
      <c r="C417" s="0" t="s">
        <v>4345</v>
      </c>
      <c r="D417" s="0" t="s">
        <v>4357</v>
      </c>
      <c r="E417" s="0" t="s">
        <v>4358</v>
      </c>
      <c r="F417" s="0" t="s">
        <v>3209</v>
      </c>
      <c r="G417" s="0" t="s">
        <v>4359</v>
      </c>
    </row>
    <row customHeight="1" ht="11.25">
      <c r="A418" s="0" t="s">
        <v>14</v>
      </c>
      <c r="B418" s="0" t="s">
        <v>4344</v>
      </c>
      <c r="C418" s="0" t="s">
        <v>4345</v>
      </c>
      <c r="D418" s="0" t="s">
        <v>4360</v>
      </c>
      <c r="E418" s="0" t="s">
        <v>4361</v>
      </c>
      <c r="F418" s="0" t="s">
        <v>3209</v>
      </c>
      <c r="G418" s="0" t="s">
        <v>4362</v>
      </c>
    </row>
    <row customHeight="1" ht="11.25">
      <c r="A419" s="0" t="s">
        <v>14</v>
      </c>
      <c r="B419" s="0" t="s">
        <v>4344</v>
      </c>
      <c r="C419" s="0" t="s">
        <v>4345</v>
      </c>
      <c r="D419" s="0" t="s">
        <v>4363</v>
      </c>
      <c r="E419" s="0" t="s">
        <v>4364</v>
      </c>
      <c r="F419" s="0" t="s">
        <v>3209</v>
      </c>
      <c r="G419" s="0" t="s">
        <v>4365</v>
      </c>
    </row>
    <row customHeight="1" ht="11.25">
      <c r="A420" s="0" t="s">
        <v>14</v>
      </c>
      <c r="B420" s="0" t="s">
        <v>4344</v>
      </c>
      <c r="C420" s="0" t="s">
        <v>4345</v>
      </c>
      <c r="D420" s="0" t="s">
        <v>4344</v>
      </c>
      <c r="E420" s="0" t="s">
        <v>4345</v>
      </c>
      <c r="F420" s="0" t="s">
        <v>3206</v>
      </c>
      <c r="G420" s="0" t="s">
        <v>4366</v>
      </c>
    </row>
    <row customHeight="1" ht="11.25">
      <c r="A421" s="0" t="s">
        <v>14</v>
      </c>
      <c r="B421" s="0" t="s">
        <v>4344</v>
      </c>
      <c r="C421" s="0" t="s">
        <v>4345</v>
      </c>
      <c r="D421" s="0" t="s">
        <v>4367</v>
      </c>
      <c r="E421" s="0" t="s">
        <v>4368</v>
      </c>
      <c r="F421" s="0" t="s">
        <v>3627</v>
      </c>
      <c r="G421" s="0" t="s">
        <v>4369</v>
      </c>
    </row>
    <row customHeight="1" ht="11.25">
      <c r="A422" s="0" t="s">
        <v>14</v>
      </c>
      <c r="B422" s="0" t="s">
        <v>4370</v>
      </c>
      <c r="C422" s="0" t="s">
        <v>4371</v>
      </c>
      <c r="D422" s="0" t="s">
        <v>3572</v>
      </c>
      <c r="E422" s="0" t="s">
        <v>4372</v>
      </c>
      <c r="F422" s="0" t="s">
        <v>3209</v>
      </c>
      <c r="G422" s="0" t="s">
        <v>4373</v>
      </c>
    </row>
    <row customHeight="1" ht="11.25">
      <c r="A423" s="0" t="s">
        <v>14</v>
      </c>
      <c r="B423" s="0" t="s">
        <v>4370</v>
      </c>
      <c r="C423" s="0" t="s">
        <v>4371</v>
      </c>
      <c r="D423" s="0" t="s">
        <v>4374</v>
      </c>
      <c r="E423" s="0" t="s">
        <v>4375</v>
      </c>
      <c r="F423" s="0" t="s">
        <v>3209</v>
      </c>
      <c r="G423" s="0" t="s">
        <v>4376</v>
      </c>
    </row>
    <row customHeight="1" ht="11.25">
      <c r="A424" s="0" t="s">
        <v>14</v>
      </c>
      <c r="B424" s="0" t="s">
        <v>4370</v>
      </c>
      <c r="C424" s="0" t="s">
        <v>4371</v>
      </c>
      <c r="D424" s="0" t="s">
        <v>3739</v>
      </c>
      <c r="E424" s="0" t="s">
        <v>4377</v>
      </c>
      <c r="F424" s="0" t="s">
        <v>3209</v>
      </c>
      <c r="G424" s="0" t="s">
        <v>4378</v>
      </c>
    </row>
    <row customHeight="1" ht="11.25">
      <c r="A425" s="0" t="s">
        <v>14</v>
      </c>
      <c r="B425" s="0" t="s">
        <v>4370</v>
      </c>
      <c r="C425" s="0" t="s">
        <v>4371</v>
      </c>
      <c r="D425" s="0" t="s">
        <v>4379</v>
      </c>
      <c r="E425" s="0" t="s">
        <v>4380</v>
      </c>
      <c r="F425" s="0" t="s">
        <v>3209</v>
      </c>
      <c r="G425" s="0" t="s">
        <v>4381</v>
      </c>
    </row>
    <row customHeight="1" ht="11.25">
      <c r="A426" s="0" t="s">
        <v>14</v>
      </c>
      <c r="B426" s="0" t="s">
        <v>4370</v>
      </c>
      <c r="C426" s="0" t="s">
        <v>4371</v>
      </c>
      <c r="D426" s="0" t="s">
        <v>4382</v>
      </c>
      <c r="E426" s="0" t="s">
        <v>4383</v>
      </c>
      <c r="F426" s="0" t="s">
        <v>3209</v>
      </c>
      <c r="G426" s="0" t="s">
        <v>4384</v>
      </c>
    </row>
    <row customHeight="1" ht="11.25">
      <c r="A427" s="0" t="s">
        <v>14</v>
      </c>
      <c r="B427" s="0" t="s">
        <v>4370</v>
      </c>
      <c r="C427" s="0" t="s">
        <v>4371</v>
      </c>
      <c r="D427" s="0" t="s">
        <v>4385</v>
      </c>
      <c r="E427" s="0" t="s">
        <v>4386</v>
      </c>
      <c r="F427" s="0" t="s">
        <v>3209</v>
      </c>
      <c r="G427" s="0" t="s">
        <v>4387</v>
      </c>
    </row>
    <row customHeight="1" ht="11.25">
      <c r="A428" s="0" t="s">
        <v>14</v>
      </c>
      <c r="B428" s="0" t="s">
        <v>4370</v>
      </c>
      <c r="C428" s="0" t="s">
        <v>4371</v>
      </c>
      <c r="D428" s="0" t="s">
        <v>4388</v>
      </c>
      <c r="E428" s="0" t="s">
        <v>4389</v>
      </c>
      <c r="F428" s="0" t="s">
        <v>3209</v>
      </c>
      <c r="G428" s="0" t="s">
        <v>4390</v>
      </c>
    </row>
    <row customHeight="1" ht="11.25">
      <c r="A429" s="0" t="s">
        <v>14</v>
      </c>
      <c r="B429" s="0" t="s">
        <v>4370</v>
      </c>
      <c r="C429" s="0" t="s">
        <v>4371</v>
      </c>
      <c r="D429" s="0" t="s">
        <v>4370</v>
      </c>
      <c r="E429" s="0" t="s">
        <v>4371</v>
      </c>
      <c r="F429" s="0" t="s">
        <v>3206</v>
      </c>
      <c r="G429" s="0" t="s">
        <v>4391</v>
      </c>
    </row>
    <row customHeight="1" ht="11.25">
      <c r="A430" s="0" t="s">
        <v>14</v>
      </c>
      <c r="B430" s="0" t="s">
        <v>4370</v>
      </c>
      <c r="C430" s="0" t="s">
        <v>4371</v>
      </c>
      <c r="D430" s="0" t="s">
        <v>4392</v>
      </c>
      <c r="E430" s="0" t="s">
        <v>4393</v>
      </c>
      <c r="F430" s="0" t="s">
        <v>3209</v>
      </c>
      <c r="G430" s="0" t="s">
        <v>4394</v>
      </c>
    </row>
    <row customHeight="1" ht="11.25">
      <c r="A431" s="0" t="s">
        <v>14</v>
      </c>
      <c r="B431" s="0" t="s">
        <v>4370</v>
      </c>
      <c r="C431" s="0" t="s">
        <v>4371</v>
      </c>
      <c r="D431" s="0" t="s">
        <v>4230</v>
      </c>
      <c r="E431" s="0" t="s">
        <v>4395</v>
      </c>
      <c r="F431" s="0" t="s">
        <v>3209</v>
      </c>
      <c r="G431" s="0" t="s">
        <v>4396</v>
      </c>
    </row>
    <row customHeight="1" ht="11.25">
      <c r="A432" s="0" t="s">
        <v>14</v>
      </c>
      <c r="B432" s="0" t="s">
        <v>4397</v>
      </c>
      <c r="C432" s="0" t="s">
        <v>4398</v>
      </c>
      <c r="D432" s="0" t="s">
        <v>3597</v>
      </c>
      <c r="E432" s="0" t="s">
        <v>4399</v>
      </c>
      <c r="F432" s="0" t="s">
        <v>3209</v>
      </c>
      <c r="G432" s="0" t="s">
        <v>4400</v>
      </c>
    </row>
    <row customHeight="1" ht="11.25">
      <c r="A433" s="0" t="s">
        <v>14</v>
      </c>
      <c r="B433" s="0" t="s">
        <v>4397</v>
      </c>
      <c r="C433" s="0" t="s">
        <v>4398</v>
      </c>
      <c r="D433" s="0" t="s">
        <v>4401</v>
      </c>
      <c r="E433" s="0" t="s">
        <v>4402</v>
      </c>
      <c r="F433" s="0" t="s">
        <v>3209</v>
      </c>
      <c r="G433" s="0" t="s">
        <v>4403</v>
      </c>
    </row>
    <row customHeight="1" ht="11.25">
      <c r="A434" s="0" t="s">
        <v>14</v>
      </c>
      <c r="B434" s="0" t="s">
        <v>4397</v>
      </c>
      <c r="C434" s="0" t="s">
        <v>4398</v>
      </c>
      <c r="D434" s="0" t="s">
        <v>4404</v>
      </c>
      <c r="E434" s="0" t="s">
        <v>4405</v>
      </c>
      <c r="F434" s="0" t="s">
        <v>3209</v>
      </c>
      <c r="G434" s="0" t="s">
        <v>4406</v>
      </c>
    </row>
    <row customHeight="1" ht="11.25">
      <c r="A435" s="0" t="s">
        <v>14</v>
      </c>
      <c r="B435" s="0" t="s">
        <v>4397</v>
      </c>
      <c r="C435" s="0" t="s">
        <v>4398</v>
      </c>
      <c r="D435" s="0" t="s">
        <v>4407</v>
      </c>
      <c r="E435" s="0" t="s">
        <v>4408</v>
      </c>
      <c r="F435" s="0" t="s">
        <v>3209</v>
      </c>
      <c r="G435" s="0" t="s">
        <v>4409</v>
      </c>
    </row>
    <row customHeight="1" ht="11.25">
      <c r="A436" s="0" t="s">
        <v>14</v>
      </c>
      <c r="B436" s="0" t="s">
        <v>4397</v>
      </c>
      <c r="C436" s="0" t="s">
        <v>4398</v>
      </c>
      <c r="D436" s="0" t="s">
        <v>4410</v>
      </c>
      <c r="E436" s="0" t="s">
        <v>4411</v>
      </c>
      <c r="F436" s="0" t="s">
        <v>3209</v>
      </c>
      <c r="G436" s="0" t="s">
        <v>4412</v>
      </c>
    </row>
    <row customHeight="1" ht="11.25">
      <c r="A437" s="0" t="s">
        <v>14</v>
      </c>
      <c r="B437" s="0" t="s">
        <v>4397</v>
      </c>
      <c r="C437" s="0" t="s">
        <v>4398</v>
      </c>
      <c r="D437" s="0" t="s">
        <v>4413</v>
      </c>
      <c r="E437" s="0" t="s">
        <v>4414</v>
      </c>
      <c r="F437" s="0" t="s">
        <v>3209</v>
      </c>
      <c r="G437" s="0" t="s">
        <v>4415</v>
      </c>
    </row>
    <row customHeight="1" ht="11.25">
      <c r="A438" s="0" t="s">
        <v>14</v>
      </c>
      <c r="B438" s="0" t="s">
        <v>4397</v>
      </c>
      <c r="C438" s="0" t="s">
        <v>4398</v>
      </c>
      <c r="D438" s="0" t="s">
        <v>4397</v>
      </c>
      <c r="E438" s="0" t="s">
        <v>4398</v>
      </c>
      <c r="F438" s="0" t="s">
        <v>3206</v>
      </c>
      <c r="G438" s="0" t="s">
        <v>4416</v>
      </c>
    </row>
    <row customHeight="1" ht="11.25">
      <c r="A439" s="0" t="s">
        <v>14</v>
      </c>
      <c r="B439" s="0" t="s">
        <v>4397</v>
      </c>
      <c r="C439" s="0" t="s">
        <v>4398</v>
      </c>
      <c r="D439" s="0" t="s">
        <v>4417</v>
      </c>
      <c r="E439" s="0" t="s">
        <v>4418</v>
      </c>
      <c r="F439" s="0" t="s">
        <v>3248</v>
      </c>
      <c r="G439" s="0" t="s">
        <v>4419</v>
      </c>
    </row>
    <row customHeight="1" ht="11.25">
      <c r="A440" s="0" t="s">
        <v>14</v>
      </c>
      <c r="B440" s="0" t="s">
        <v>4420</v>
      </c>
      <c r="C440" s="0" t="s">
        <v>4421</v>
      </c>
      <c r="D440" s="0" t="s">
        <v>4422</v>
      </c>
      <c r="E440" s="0" t="s">
        <v>4423</v>
      </c>
      <c r="F440" s="0" t="s">
        <v>3209</v>
      </c>
      <c r="G440" s="0" t="s">
        <v>4424</v>
      </c>
    </row>
    <row customHeight="1" ht="11.25">
      <c r="A441" s="0" t="s">
        <v>14</v>
      </c>
      <c r="B441" s="0" t="s">
        <v>4420</v>
      </c>
      <c r="C441" s="0" t="s">
        <v>4421</v>
      </c>
      <c r="D441" s="0" t="s">
        <v>3533</v>
      </c>
      <c r="E441" s="0" t="s">
        <v>4425</v>
      </c>
      <c r="F441" s="0" t="s">
        <v>3209</v>
      </c>
      <c r="G441" s="0" t="s">
        <v>4426</v>
      </c>
    </row>
    <row customHeight="1" ht="11.25">
      <c r="A442" s="0" t="s">
        <v>14</v>
      </c>
      <c r="B442" s="0" t="s">
        <v>4420</v>
      </c>
      <c r="C442" s="0" t="s">
        <v>4421</v>
      </c>
      <c r="D442" s="0" t="s">
        <v>4427</v>
      </c>
      <c r="E442" s="0" t="s">
        <v>4428</v>
      </c>
      <c r="F442" s="0" t="s">
        <v>3209</v>
      </c>
      <c r="G442" s="0" t="s">
        <v>4429</v>
      </c>
    </row>
    <row customHeight="1" ht="11.25">
      <c r="A443" s="0" t="s">
        <v>14</v>
      </c>
      <c r="B443" s="0" t="s">
        <v>4420</v>
      </c>
      <c r="C443" s="0" t="s">
        <v>4421</v>
      </c>
      <c r="D443" s="0" t="s">
        <v>3575</v>
      </c>
      <c r="E443" s="0" t="s">
        <v>4430</v>
      </c>
      <c r="F443" s="0" t="s">
        <v>3209</v>
      </c>
      <c r="G443" s="0" t="s">
        <v>4431</v>
      </c>
    </row>
    <row customHeight="1" ht="11.25">
      <c r="A444" s="0" t="s">
        <v>14</v>
      </c>
      <c r="B444" s="0" t="s">
        <v>4420</v>
      </c>
      <c r="C444" s="0" t="s">
        <v>4421</v>
      </c>
      <c r="D444" s="0" t="s">
        <v>4432</v>
      </c>
      <c r="E444" s="0" t="s">
        <v>4433</v>
      </c>
      <c r="F444" s="0" t="s">
        <v>3209</v>
      </c>
      <c r="G444" s="0" t="s">
        <v>4434</v>
      </c>
    </row>
    <row customHeight="1" ht="11.25">
      <c r="A445" s="0" t="s">
        <v>14</v>
      </c>
      <c r="B445" s="0" t="s">
        <v>4420</v>
      </c>
      <c r="C445" s="0" t="s">
        <v>4421</v>
      </c>
      <c r="D445" s="0" t="s">
        <v>4435</v>
      </c>
      <c r="E445" s="0" t="s">
        <v>4436</v>
      </c>
      <c r="F445" s="0" t="s">
        <v>3209</v>
      </c>
      <c r="G445" s="0" t="s">
        <v>4437</v>
      </c>
    </row>
    <row customHeight="1" ht="11.25">
      <c r="A446" s="0" t="s">
        <v>14</v>
      </c>
      <c r="B446" s="0" t="s">
        <v>4420</v>
      </c>
      <c r="C446" s="0" t="s">
        <v>4421</v>
      </c>
      <c r="D446" s="0" t="s">
        <v>4438</v>
      </c>
      <c r="E446" s="0" t="s">
        <v>4439</v>
      </c>
      <c r="F446" s="0" t="s">
        <v>3209</v>
      </c>
      <c r="G446" s="0" t="s">
        <v>4440</v>
      </c>
    </row>
    <row customHeight="1" ht="11.25">
      <c r="A447" s="0" t="s">
        <v>14</v>
      </c>
      <c r="B447" s="0" t="s">
        <v>4420</v>
      </c>
      <c r="C447" s="0" t="s">
        <v>4421</v>
      </c>
      <c r="D447" s="0" t="s">
        <v>4441</v>
      </c>
      <c r="E447" s="0" t="s">
        <v>4442</v>
      </c>
      <c r="F447" s="0" t="s">
        <v>3209</v>
      </c>
      <c r="G447" s="0" t="s">
        <v>4443</v>
      </c>
    </row>
    <row customHeight="1" ht="11.25">
      <c r="A448" s="0" t="s">
        <v>14</v>
      </c>
      <c r="B448" s="0" t="s">
        <v>4420</v>
      </c>
      <c r="C448" s="0" t="s">
        <v>4421</v>
      </c>
      <c r="D448" s="0" t="s">
        <v>4444</v>
      </c>
      <c r="E448" s="0" t="s">
        <v>4445</v>
      </c>
      <c r="F448" s="0" t="s">
        <v>3209</v>
      </c>
      <c r="G448" s="0" t="s">
        <v>4446</v>
      </c>
    </row>
    <row customHeight="1" ht="11.25">
      <c r="A449" s="0" t="s">
        <v>14</v>
      </c>
      <c r="B449" s="0" t="s">
        <v>4420</v>
      </c>
      <c r="C449" s="0" t="s">
        <v>4421</v>
      </c>
      <c r="D449" s="0" t="s">
        <v>4447</v>
      </c>
      <c r="E449" s="0" t="s">
        <v>4448</v>
      </c>
      <c r="F449" s="0" t="s">
        <v>3209</v>
      </c>
      <c r="G449" s="0" t="s">
        <v>4449</v>
      </c>
    </row>
    <row customHeight="1" ht="11.25">
      <c r="A450" s="0" t="s">
        <v>14</v>
      </c>
      <c r="B450" s="0" t="s">
        <v>4420</v>
      </c>
      <c r="C450" s="0" t="s">
        <v>4421</v>
      </c>
      <c r="D450" s="0" t="s">
        <v>4450</v>
      </c>
      <c r="E450" s="0" t="s">
        <v>4451</v>
      </c>
      <c r="F450" s="0" t="s">
        <v>3209</v>
      </c>
      <c r="G450" s="0" t="s">
        <v>4452</v>
      </c>
    </row>
    <row customHeight="1" ht="11.25">
      <c r="A451" s="0" t="s">
        <v>14</v>
      </c>
      <c r="B451" s="0" t="s">
        <v>4420</v>
      </c>
      <c r="C451" s="0" t="s">
        <v>4421</v>
      </c>
      <c r="D451" s="0" t="s">
        <v>4420</v>
      </c>
      <c r="E451" s="0" t="s">
        <v>4421</v>
      </c>
      <c r="F451" s="0" t="s">
        <v>3206</v>
      </c>
      <c r="G451" s="0" t="s">
        <v>4453</v>
      </c>
    </row>
    <row customHeight="1" ht="11.25">
      <c r="A452" s="0" t="s">
        <v>14</v>
      </c>
      <c r="B452" s="0" t="s">
        <v>4420</v>
      </c>
      <c r="C452" s="0" t="s">
        <v>4421</v>
      </c>
      <c r="D452" s="0" t="s">
        <v>4454</v>
      </c>
      <c r="E452" s="0" t="s">
        <v>4455</v>
      </c>
      <c r="F452" s="0" t="s">
        <v>3209</v>
      </c>
      <c r="G452" s="0" t="s">
        <v>4456</v>
      </c>
    </row>
    <row customHeight="1" ht="11.25">
      <c r="A453" s="0" t="s">
        <v>14</v>
      </c>
      <c r="B453" s="0" t="s">
        <v>4420</v>
      </c>
      <c r="C453" s="0" t="s">
        <v>4421</v>
      </c>
      <c r="D453" s="0" t="s">
        <v>4457</v>
      </c>
      <c r="E453" s="0" t="s">
        <v>4458</v>
      </c>
      <c r="F453" s="0" t="s">
        <v>3209</v>
      </c>
      <c r="G453" s="0" t="s">
        <v>4459</v>
      </c>
    </row>
    <row customHeight="1" ht="11.25">
      <c r="A454" s="0" t="s">
        <v>14</v>
      </c>
      <c r="B454" s="0" t="s">
        <v>4420</v>
      </c>
      <c r="C454" s="0" t="s">
        <v>4421</v>
      </c>
      <c r="D454" s="0" t="s">
        <v>4460</v>
      </c>
      <c r="E454" s="0" t="s">
        <v>4461</v>
      </c>
      <c r="F454" s="0" t="s">
        <v>3209</v>
      </c>
      <c r="G454" s="0" t="s">
        <v>4462</v>
      </c>
    </row>
    <row customHeight="1" ht="11.25">
      <c r="A455" s="0" t="s">
        <v>14</v>
      </c>
      <c r="B455" s="0" t="s">
        <v>4463</v>
      </c>
      <c r="C455" s="0" t="s">
        <v>4464</v>
      </c>
      <c r="D455" s="0" t="s">
        <v>4465</v>
      </c>
      <c r="E455" s="0" t="s">
        <v>4466</v>
      </c>
      <c r="F455" s="0" t="s">
        <v>3209</v>
      </c>
      <c r="G455" s="0" t="s">
        <v>4467</v>
      </c>
    </row>
    <row customHeight="1" ht="11.25">
      <c r="A456" s="0" t="s">
        <v>14</v>
      </c>
      <c r="B456" s="0" t="s">
        <v>4463</v>
      </c>
      <c r="C456" s="0" t="s">
        <v>4464</v>
      </c>
      <c r="D456" s="0" t="s">
        <v>4468</v>
      </c>
      <c r="E456" s="0" t="s">
        <v>4469</v>
      </c>
      <c r="F456" s="0" t="s">
        <v>3209</v>
      </c>
      <c r="G456" s="0" t="s">
        <v>4470</v>
      </c>
    </row>
    <row customHeight="1" ht="11.25">
      <c r="A457" s="0" t="s">
        <v>14</v>
      </c>
      <c r="B457" s="0" t="s">
        <v>4463</v>
      </c>
      <c r="C457" s="0" t="s">
        <v>4464</v>
      </c>
      <c r="D457" s="0" t="s">
        <v>4471</v>
      </c>
      <c r="E457" s="0" t="s">
        <v>4472</v>
      </c>
      <c r="F457" s="0" t="s">
        <v>3209</v>
      </c>
      <c r="G457" s="0" t="s">
        <v>4473</v>
      </c>
    </row>
    <row customHeight="1" ht="11.25">
      <c r="A458" s="0" t="s">
        <v>14</v>
      </c>
      <c r="B458" s="0" t="s">
        <v>4463</v>
      </c>
      <c r="C458" s="0" t="s">
        <v>4464</v>
      </c>
      <c r="D458" s="0" t="s">
        <v>4474</v>
      </c>
      <c r="E458" s="0" t="s">
        <v>4475</v>
      </c>
      <c r="F458" s="0" t="s">
        <v>3209</v>
      </c>
      <c r="G458" s="0" t="s">
        <v>4476</v>
      </c>
    </row>
    <row customHeight="1" ht="11.25">
      <c r="A459" s="0" t="s">
        <v>14</v>
      </c>
      <c r="B459" s="0" t="s">
        <v>4463</v>
      </c>
      <c r="C459" s="0" t="s">
        <v>4464</v>
      </c>
      <c r="D459" s="0" t="s">
        <v>3597</v>
      </c>
      <c r="E459" s="0" t="s">
        <v>4477</v>
      </c>
      <c r="F459" s="0" t="s">
        <v>3209</v>
      </c>
      <c r="G459" s="0" t="s">
        <v>4478</v>
      </c>
    </row>
    <row customHeight="1" ht="11.25">
      <c r="A460" s="0" t="s">
        <v>14</v>
      </c>
      <c r="B460" s="0" t="s">
        <v>4463</v>
      </c>
      <c r="C460" s="0" t="s">
        <v>4464</v>
      </c>
      <c r="D460" s="0" t="s">
        <v>4479</v>
      </c>
      <c r="E460" s="0" t="s">
        <v>4480</v>
      </c>
      <c r="F460" s="0" t="s">
        <v>3209</v>
      </c>
      <c r="G460" s="0" t="s">
        <v>4481</v>
      </c>
    </row>
    <row customHeight="1" ht="11.25">
      <c r="A461" s="0" t="s">
        <v>14</v>
      </c>
      <c r="B461" s="0" t="s">
        <v>4463</v>
      </c>
      <c r="C461" s="0" t="s">
        <v>4464</v>
      </c>
      <c r="D461" s="0" t="s">
        <v>4482</v>
      </c>
      <c r="E461" s="0" t="s">
        <v>4483</v>
      </c>
      <c r="F461" s="0" t="s">
        <v>3209</v>
      </c>
      <c r="G461" s="0" t="s">
        <v>4484</v>
      </c>
    </row>
    <row customHeight="1" ht="11.25">
      <c r="A462" s="0" t="s">
        <v>14</v>
      </c>
      <c r="B462" s="0" t="s">
        <v>4463</v>
      </c>
      <c r="C462" s="0" t="s">
        <v>4464</v>
      </c>
      <c r="D462" s="0" t="s">
        <v>4485</v>
      </c>
      <c r="E462" s="0" t="s">
        <v>4486</v>
      </c>
      <c r="F462" s="0" t="s">
        <v>3209</v>
      </c>
      <c r="G462" s="0" t="s">
        <v>4487</v>
      </c>
    </row>
    <row customHeight="1" ht="11.25">
      <c r="A463" s="0" t="s">
        <v>14</v>
      </c>
      <c r="B463" s="0" t="s">
        <v>4463</v>
      </c>
      <c r="C463" s="0" t="s">
        <v>4464</v>
      </c>
      <c r="D463" s="0" t="s">
        <v>4488</v>
      </c>
      <c r="E463" s="0" t="s">
        <v>4489</v>
      </c>
      <c r="F463" s="0" t="s">
        <v>3209</v>
      </c>
      <c r="G463" s="0" t="s">
        <v>4490</v>
      </c>
    </row>
    <row customHeight="1" ht="11.25">
      <c r="A464" s="0" t="s">
        <v>14</v>
      </c>
      <c r="B464" s="0" t="s">
        <v>4463</v>
      </c>
      <c r="C464" s="0" t="s">
        <v>4464</v>
      </c>
      <c r="D464" s="0" t="s">
        <v>4463</v>
      </c>
      <c r="E464" s="0" t="s">
        <v>4464</v>
      </c>
      <c r="F464" s="0" t="s">
        <v>3206</v>
      </c>
      <c r="G464" s="0" t="s">
        <v>4491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74CEC6-2CB2-96A8-0568-67446BC7747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5343" width="9.140625"/>
    <col min="2" max="2" style="5343" width="84.28125" customWidth="1"/>
    <col min="3" max="3" style="5343" width="9.140625"/>
  </cols>
  <sheetData>
    <row customHeight="1" ht="11.25">
      <c r="A1" s="841" t="s">
        <v>4578</v>
      </c>
      <c r="B1" s="841" t="s">
        <v>4579</v>
      </c>
      <c r="C1" s="841" t="s">
        <v>1175</v>
      </c>
    </row>
    <row customHeight="1" ht="11.25">
      <c r="A2" s="841">
        <v>4189678</v>
      </c>
      <c r="B2" s="841" t="s">
        <v>4580</v>
      </c>
      <c r="C2" s="841" t="s">
        <v>4581</v>
      </c>
    </row>
    <row customHeight="1" ht="11.25">
      <c r="A3" s="841">
        <v>4190415</v>
      </c>
      <c r="B3" s="841" t="s">
        <v>4582</v>
      </c>
      <c r="C3" s="841" t="s">
        <v>4581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C5D4B5-1066-63E8-FCA8-6AF414B0C5E3}"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5348" width="38.421875" customWidth="1"/>
    <col min="2" max="5" style="5348" width="9.140625"/>
  </cols>
  <sheetData>
    <row customHeight="1" ht="15">
      <c r="A1" s="149" t="s">
        <v>4583</v>
      </c>
      <c r="B1" s="149" t="s">
        <v>4584</v>
      </c>
      <c r="C1" s="149"/>
      <c r="D1" s="149"/>
      <c r="E1" s="149"/>
    </row>
    <row customHeight="1" ht="15">
      <c r="A2" s="149"/>
      <c r="B2" s="149"/>
      <c r="C2" s="149"/>
      <c r="D2" s="149"/>
      <c r="E2" s="149"/>
    </row>
    <row customHeight="1" ht="15">
      <c r="A3" s="149"/>
      <c r="B3" s="149"/>
      <c r="C3" s="149"/>
      <c r="D3" s="149"/>
      <c r="E3" s="149"/>
    </row>
    <row customHeight="1" ht="15">
      <c r="A4" s="149"/>
      <c r="B4" s="149"/>
      <c r="C4" s="149"/>
      <c r="D4" s="149"/>
      <c r="E4" s="149"/>
    </row>
    <row customHeight="1" ht="15">
      <c r="A5" s="149"/>
      <c r="B5" s="149"/>
      <c r="C5" s="149"/>
      <c r="D5" s="149"/>
      <c r="E5" s="149"/>
    </row>
    <row customHeight="1" ht="15">
      <c r="A6" s="149"/>
      <c r="B6" s="149"/>
      <c r="C6" s="149"/>
      <c r="D6" s="149"/>
      <c r="E6" s="149"/>
    </row>
    <row customHeight="1" ht="15">
      <c r="A7" s="149"/>
      <c r="B7" s="149"/>
      <c r="C7" s="149"/>
      <c r="D7" s="149"/>
      <c r="E7" s="149"/>
    </row>
    <row customHeight="1" ht="15">
      <c r="A8" s="149"/>
      <c r="B8" s="149"/>
      <c r="C8" s="149"/>
      <c r="D8" s="149"/>
      <c r="E8" s="149"/>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F6A7E8-8998-BFF8-E378-EE8D91F19583}"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4585</v>
      </c>
      <c r="B1" s="0" t="b">
        <v>1</v>
      </c>
    </row>
    <row customHeight="1" ht="11.25">
      <c r="A2" s="0" t="s">
        <v>4586</v>
      </c>
      <c r="B2" s="0" t="b">
        <v>0</v>
      </c>
    </row>
    <row customHeight="1" ht="11.25">
      <c r="A3" s="0" t="s">
        <v>4587</v>
      </c>
      <c r="B3" s="0" t="b">
        <v>1</v>
      </c>
    </row>
    <row customHeight="1" ht="11.25">
      <c r="A4" s="0" t="s">
        <v>4588</v>
      </c>
      <c r="B4" s="0" t="b">
        <v>0</v>
      </c>
    </row>
    <row customHeight="1" ht="11.25">
      <c r="A5" s="0" t="s">
        <v>4589</v>
      </c>
      <c r="B5" s="0" t="b">
        <v>0</v>
      </c>
    </row>
    <row customHeight="1" ht="11.25">
      <c r="A6" s="0" t="s">
        <v>4590</v>
      </c>
      <c r="B6" s="0" t="b">
        <v>0</v>
      </c>
    </row>
    <row customHeight="1" ht="11.25">
      <c r="A7" s="0" t="s">
        <v>4591</v>
      </c>
      <c r="B7" s="0" t="b">
        <v>0</v>
      </c>
    </row>
    <row customHeight="1" ht="11.25">
      <c r="A8" s="0" t="s">
        <v>4592</v>
      </c>
      <c r="B8" s="0" t="b">
        <v>0</v>
      </c>
    </row>
    <row customHeight="1" ht="11.25">
      <c r="A9" s="0" t="s">
        <v>4593</v>
      </c>
      <c r="B9" s="0" t="b">
        <v>1</v>
      </c>
    </row>
    <row customHeight="1" ht="11.25">
      <c r="A10" s="0" t="s">
        <v>4594</v>
      </c>
      <c r="B10" s="0" t="b">
        <v>0</v>
      </c>
    </row>
    <row customHeight="1" ht="11.25">
      <c r="A11" s="0" t="s">
        <v>4595</v>
      </c>
      <c r="B11" s="0" t="b">
        <v>0</v>
      </c>
    </row>
    <row customHeight="1" ht="11.25">
      <c r="A12" s="0" t="s">
        <v>4596</v>
      </c>
      <c r="B12" s="0" t="b">
        <v>0</v>
      </c>
    </row>
    <row customHeight="1" ht="11.25">
      <c r="A13" s="0" t="s">
        <v>4597</v>
      </c>
      <c r="B13" s="0" t="b">
        <v>0</v>
      </c>
    </row>
    <row customHeight="1" ht="11.25">
      <c r="A14" s="0" t="s">
        <v>4598</v>
      </c>
      <c r="B14" s="0" t="b">
        <v>0</v>
      </c>
    </row>
    <row customHeight="1" ht="11.25">
      <c r="A15" s="0" t="s">
        <v>4599</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064334-0C98-BA08-8D9B-03C9C9E90F0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5350" width="9.140625"/>
  </cols>
  <sheetData>
    <row customHeight="1" ht="12.75">
      <c r="A1" s="80"/>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BC1EC6-AC69-ABE8-4D72-60F29E9F804B}"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5325" width="36.28125" customWidth="1"/>
    <col min="2" max="2" style="5325" width="21.140625" customWidth="1"/>
  </cols>
  <sheetData>
    <row customHeight="1" ht="11.25">
      <c r="A1" s="52" t="s">
        <v>4600</v>
      </c>
      <c r="B1" s="52" t="s">
        <v>4601</v>
      </c>
    </row>
    <row customHeight="1" ht="11.25">
      <c r="A2" s="48" t="s">
        <v>4602</v>
      </c>
      <c r="B2" s="48" t="s">
        <v>4603</v>
      </c>
    </row>
    <row customHeight="1" ht="11.25">
      <c r="A3" s="48" t="s">
        <v>4604</v>
      </c>
      <c r="B3" s="48" t="s">
        <v>4605</v>
      </c>
    </row>
    <row customHeight="1" ht="11.25">
      <c r="A4" s="48" t="s">
        <v>4606</v>
      </c>
      <c r="B4" s="48" t="s">
        <v>4607</v>
      </c>
    </row>
    <row customHeight="1" ht="11.25">
      <c r="A5" s="48" t="s">
        <v>4608</v>
      </c>
      <c r="B5" s="48" t="s">
        <v>4609</v>
      </c>
    </row>
    <row customHeight="1" ht="11.25">
      <c r="A6" s="48" t="s">
        <v>4610</v>
      </c>
      <c r="B6" s="48" t="s">
        <v>4611</v>
      </c>
    </row>
    <row customHeight="1" ht="11.25">
      <c r="A7" s="48" t="s">
        <v>4612</v>
      </c>
      <c r="B7" s="48" t="s">
        <v>4613</v>
      </c>
    </row>
    <row customHeight="1" ht="11.25">
      <c r="A8" s="48" t="s">
        <v>4614</v>
      </c>
      <c r="B8" s="48" t="s">
        <v>4615</v>
      </c>
    </row>
    <row customHeight="1" ht="11.25">
      <c r="A9" s="48" t="s">
        <v>4616</v>
      </c>
      <c r="B9" s="48" t="s">
        <v>4617</v>
      </c>
    </row>
    <row customHeight="1" ht="11.25">
      <c r="A10" s="48" t="s">
        <v>4618</v>
      </c>
      <c r="B10" s="48" t="s">
        <v>4619</v>
      </c>
    </row>
    <row customHeight="1" ht="11.25">
      <c r="A11" s="48" t="s">
        <v>4620</v>
      </c>
      <c r="B11" s="48" t="s">
        <v>4621</v>
      </c>
    </row>
    <row customHeight="1" ht="11.25">
      <c r="A12" s="48" t="s">
        <v>4622</v>
      </c>
      <c r="B12" s="48" t="s">
        <v>4623</v>
      </c>
    </row>
    <row customHeight="1" ht="11.25">
      <c r="A13" s="48" t="s">
        <v>4624</v>
      </c>
      <c r="B13" s="48" t="s">
        <v>4625</v>
      </c>
    </row>
    <row customHeight="1" ht="11.25">
      <c r="A14" s="48" t="s">
        <v>4626</v>
      </c>
      <c r="B14" s="48" t="s">
        <v>4627</v>
      </c>
    </row>
    <row customHeight="1" ht="11.25">
      <c r="A15" s="48" t="s">
        <v>4628</v>
      </c>
      <c r="B15" s="48" t="s">
        <v>4629</v>
      </c>
    </row>
    <row customHeight="1" ht="11.25">
      <c r="A16" s="48" t="s">
        <v>4630</v>
      </c>
      <c r="B16" s="48" t="s">
        <v>4631</v>
      </c>
    </row>
    <row customHeight="1" ht="11.25">
      <c r="A17" s="48" t="s">
        <v>4632</v>
      </c>
      <c r="B17" s="48" t="s">
        <v>4633</v>
      </c>
    </row>
    <row customHeight="1" ht="11.25">
      <c r="A18" s="48" t="s">
        <v>4634</v>
      </c>
      <c r="B18" s="48" t="s">
        <v>4635</v>
      </c>
    </row>
    <row customHeight="1" ht="11.25">
      <c r="A19" s="48" t="s">
        <v>4636</v>
      </c>
      <c r="B19" s="48" t="s">
        <v>4637</v>
      </c>
    </row>
    <row customHeight="1" ht="11.25">
      <c r="A20" s="48" t="s">
        <v>4638</v>
      </c>
      <c r="B20" s="48" t="s">
        <v>4639</v>
      </c>
    </row>
    <row customHeight="1" ht="11.25">
      <c r="A21" s="48" t="s">
        <v>4640</v>
      </c>
      <c r="B21" s="48" t="s">
        <v>4641</v>
      </c>
    </row>
    <row customHeight="1" ht="11.25">
      <c r="A22" s="48" t="s">
        <v>4642</v>
      </c>
      <c r="B22" s="48" t="s">
        <v>4643</v>
      </c>
    </row>
    <row customHeight="1" ht="11.25">
      <c r="A23" s="48" t="s">
        <v>4644</v>
      </c>
      <c r="B23" s="48" t="s">
        <v>4645</v>
      </c>
    </row>
    <row customHeight="1" ht="11.25">
      <c r="A24" s="48" t="s">
        <v>4646</v>
      </c>
      <c r="B24" s="48" t="s">
        <v>4647</v>
      </c>
    </row>
    <row customHeight="1" ht="11.25">
      <c r="A25" s="48" t="s">
        <v>4648</v>
      </c>
      <c r="B25" s="48" t="s">
        <v>4649</v>
      </c>
    </row>
    <row customHeight="1" ht="11.25">
      <c r="A26" s="48" t="s">
        <v>4650</v>
      </c>
      <c r="B26" s="48" t="s">
        <v>4651</v>
      </c>
    </row>
    <row customHeight="1" ht="11.25">
      <c r="A27" s="48" t="s">
        <v>4652</v>
      </c>
      <c r="B27" s="48" t="s">
        <v>4653</v>
      </c>
    </row>
    <row customHeight="1" ht="11.25">
      <c r="A28" s="48" t="s">
        <v>4654</v>
      </c>
      <c r="B28" s="48" t="s">
        <v>4655</v>
      </c>
    </row>
    <row customHeight="1" ht="11.25">
      <c r="A29" s="48" t="s">
        <v>4656</v>
      </c>
      <c r="B29" s="48" t="s">
        <v>4657</v>
      </c>
    </row>
    <row customHeight="1" ht="11.25">
      <c r="A30" s="48" t="s">
        <v>4658</v>
      </c>
      <c r="B30" s="48" t="s">
        <v>4659</v>
      </c>
    </row>
    <row customHeight="1" ht="11.25">
      <c r="A31" s="48" t="s">
        <v>4660</v>
      </c>
      <c r="B31" s="48" t="s">
        <v>4661</v>
      </c>
    </row>
    <row customHeight="1" ht="11.25">
      <c r="A32" s="48" t="s">
        <v>4662</v>
      </c>
      <c r="B32" s="48" t="s">
        <v>4663</v>
      </c>
    </row>
    <row customHeight="1" ht="11.25">
      <c r="A33" s="48" t="s">
        <v>4664</v>
      </c>
      <c r="B33" s="48" t="s">
        <v>4665</v>
      </c>
    </row>
    <row customHeight="1" ht="11.25">
      <c r="A34" s="48" t="s">
        <v>4666</v>
      </c>
      <c r="B34" s="48" t="s">
        <v>4667</v>
      </c>
    </row>
    <row customHeight="1" ht="11.25">
      <c r="A35" s="48" t="s">
        <v>4668</v>
      </c>
      <c r="B35" s="48" t="s">
        <v>4669</v>
      </c>
    </row>
    <row customHeight="1" ht="11.25">
      <c r="A36" s="48" t="s">
        <v>4670</v>
      </c>
      <c r="B36" s="48" t="s">
        <v>4671</v>
      </c>
    </row>
    <row customHeight="1" ht="11.25">
      <c r="A37" s="48" t="s">
        <v>4672</v>
      </c>
      <c r="B37" s="48" t="s">
        <v>4673</v>
      </c>
    </row>
    <row customHeight="1" ht="11.25">
      <c r="A38" s="48" t="s">
        <v>4674</v>
      </c>
      <c r="B38" s="48" t="s">
        <v>4675</v>
      </c>
    </row>
    <row customHeight="1" ht="11.25">
      <c r="A39" s="48" t="s">
        <v>4676</v>
      </c>
      <c r="B39" s="48" t="s">
        <v>4677</v>
      </c>
    </row>
    <row customHeight="1" ht="11.25">
      <c r="A40" s="48" t="s">
        <v>4678</v>
      </c>
      <c r="B40" s="48" t="s">
        <v>4679</v>
      </c>
    </row>
    <row customHeight="1" ht="11.25">
      <c r="A41" s="48" t="s">
        <v>4680</v>
      </c>
      <c r="B41" s="48" t="s">
        <v>4681</v>
      </c>
    </row>
    <row customHeight="1" ht="11.25">
      <c r="A42" s="48" t="s">
        <v>4682</v>
      </c>
      <c r="B42" s="48" t="s">
        <v>4683</v>
      </c>
    </row>
    <row customHeight="1" ht="11.25">
      <c r="A43" s="48" t="s">
        <v>4684</v>
      </c>
      <c r="B43" s="48" t="s">
        <v>4685</v>
      </c>
    </row>
    <row customHeight="1" ht="11.25">
      <c r="A44" s="48" t="s">
        <v>4686</v>
      </c>
      <c r="B44" s="48" t="s">
        <v>4687</v>
      </c>
    </row>
    <row customHeight="1" ht="11.25">
      <c r="A45" s="48" t="s">
        <v>4688</v>
      </c>
      <c r="B45" s="48" t="s">
        <v>4689</v>
      </c>
    </row>
    <row customHeight="1" ht="11.25">
      <c r="A46" s="48" t="s">
        <v>4690</v>
      </c>
      <c r="B46" s="48" t="s">
        <v>4691</v>
      </c>
    </row>
    <row customHeight="1" ht="11.25">
      <c r="A47" s="48" t="s">
        <v>4692</v>
      </c>
      <c r="B47" s="48" t="s">
        <v>4693</v>
      </c>
    </row>
    <row customHeight="1" ht="11.25">
      <c r="A48" s="48" t="s">
        <v>4694</v>
      </c>
      <c r="B48" s="48" t="s">
        <v>4695</v>
      </c>
    </row>
    <row customHeight="1" ht="11.25">
      <c r="A49" s="48" t="s">
        <v>4696</v>
      </c>
      <c r="B49" s="48" t="s">
        <v>4697</v>
      </c>
    </row>
    <row customHeight="1" ht="11.25">
      <c r="A50" s="48" t="s">
        <v>4698</v>
      </c>
      <c r="B50" s="48" t="s">
        <v>4699</v>
      </c>
    </row>
    <row customHeight="1" ht="11.25">
      <c r="A51" s="48" t="s">
        <v>4700</v>
      </c>
      <c r="B51" s="48" t="s">
        <v>4701</v>
      </c>
    </row>
    <row customHeight="1" ht="11.25">
      <c r="A52" s="48" t="s">
        <v>4702</v>
      </c>
      <c r="B52" s="48" t="s">
        <v>4703</v>
      </c>
    </row>
    <row customHeight="1" ht="11.25">
      <c r="A53" s="48" t="s">
        <v>4704</v>
      </c>
      <c r="B53" s="48" t="s">
        <v>4705</v>
      </c>
    </row>
    <row customHeight="1" ht="11.25">
      <c r="A54" s="48" t="s">
        <v>4706</v>
      </c>
      <c r="B54" s="48" t="s">
        <v>4707</v>
      </c>
    </row>
    <row customHeight="1" ht="11.25">
      <c r="A55" s="48" t="s">
        <v>4708</v>
      </c>
      <c r="B55" s="48" t="s">
        <v>4709</v>
      </c>
    </row>
    <row customHeight="1" ht="11.25">
      <c r="A56" s="48" t="s">
        <v>4710</v>
      </c>
      <c r="B56" s="48" t="s">
        <v>4711</v>
      </c>
    </row>
    <row customHeight="1" ht="11.25">
      <c r="A57" s="48" t="s">
        <v>4712</v>
      </c>
      <c r="B57" s="48" t="s">
        <v>4713</v>
      </c>
    </row>
    <row customHeight="1" ht="11.25">
      <c r="A58" s="48" t="s">
        <v>4714</v>
      </c>
      <c r="B58" s="48" t="s">
        <v>4715</v>
      </c>
    </row>
    <row customHeight="1" ht="11.25">
      <c r="A59" s="48" t="s">
        <v>4716</v>
      </c>
      <c r="B59" s="48" t="s">
        <v>4717</v>
      </c>
    </row>
    <row customHeight="1" ht="11.25">
      <c r="A60" s="48" t="s">
        <v>4718</v>
      </c>
      <c r="B60" s="48" t="s">
        <v>4719</v>
      </c>
    </row>
    <row customHeight="1" ht="11.25">
      <c r="A61" s="48"/>
      <c r="B61" s="48" t="s">
        <v>4720</v>
      </c>
    </row>
    <row customHeight="1" ht="11.25">
      <c r="A62" s="48"/>
      <c r="B62" s="48" t="s">
        <v>4721</v>
      </c>
    </row>
    <row customHeight="1" ht="11.25">
      <c r="A63" s="48"/>
      <c r="B63" s="48" t="s">
        <v>4722</v>
      </c>
    </row>
    <row customHeight="1" ht="11.25">
      <c r="A64" s="48"/>
      <c r="B64" s="48" t="s">
        <v>4723</v>
      </c>
    </row>
    <row customHeight="1" ht="11.25">
      <c r="A65" s="48"/>
      <c r="B65" s="48" t="s">
        <v>4724</v>
      </c>
    </row>
    <row customHeight="1" ht="11.25">
      <c r="A66" s="48"/>
      <c r="B66" s="48" t="s">
        <v>4725</v>
      </c>
    </row>
    <row customHeight="1" ht="11.25">
      <c r="A67" s="48"/>
      <c r="B67" s="48" t="s">
        <v>4726</v>
      </c>
    </row>
    <row customHeight="1" ht="11.25">
      <c r="A68" s="48"/>
      <c r="B68" s="48" t="s">
        <v>4727</v>
      </c>
    </row>
    <row customHeight="1" ht="11.25">
      <c r="A69" s="48"/>
      <c r="B69" s="48" t="s">
        <v>4728</v>
      </c>
    </row>
    <row customHeight="1" ht="11.25">
      <c r="A70" s="48"/>
      <c r="B70" s="48" t="s">
        <v>4729</v>
      </c>
    </row>
    <row customHeight="1" ht="11.25">
      <c r="A71" s="48"/>
      <c r="B71" s="48"/>
    </row>
    <row customHeight="1" ht="11.25">
      <c r="A72" s="48"/>
      <c r="B72" s="48"/>
    </row>
    <row customHeight="1" ht="11.25">
      <c r="A73" s="48"/>
      <c r="B73" s="48"/>
    </row>
    <row customHeight="1" ht="11.25">
      <c r="A74" s="48"/>
      <c r="B74" s="48"/>
    </row>
    <row customHeight="1" ht="11.25">
      <c r="A75" s="48"/>
      <c r="B75" s="48"/>
    </row>
    <row customHeight="1" ht="11.25">
      <c r="A76" s="48"/>
      <c r="B76" s="48"/>
    </row>
    <row customHeight="1" ht="11.25">
      <c r="A77" s="48"/>
      <c r="B77" s="48"/>
    </row>
    <row customHeight="1" ht="11.25">
      <c r="A78" s="48"/>
      <c r="B78" s="48"/>
    </row>
    <row customHeight="1" ht="11.25">
      <c r="A79" s="48"/>
      <c r="B79" s="48"/>
    </row>
    <row customHeight="1" ht="11.25">
      <c r="A80" s="48"/>
      <c r="B80" s="48"/>
    </row>
    <row customHeight="1" ht="11.25">
      <c r="A81" s="48"/>
      <c r="B81" s="48"/>
    </row>
    <row customHeight="1" ht="11.25">
      <c r="A82" s="48"/>
      <c r="B82" s="48"/>
    </row>
    <row customHeight="1" ht="11.25">
      <c r="A83" s="48"/>
      <c r="B83" s="48"/>
    </row>
    <row customHeight="1" ht="11.25">
      <c r="A84" s="48"/>
      <c r="B84" s="48"/>
    </row>
    <row customHeight="1" ht="11.25">
      <c r="A85" s="48"/>
      <c r="B85" s="48"/>
    </row>
    <row customHeight="1" ht="11.25">
      <c r="A86" s="48"/>
      <c r="B86" s="48"/>
    </row>
    <row customHeight="1" ht="11.25">
      <c r="A87" s="48"/>
      <c r="B87" s="48"/>
    </row>
    <row customHeight="1" ht="11.25">
      <c r="A88" s="48"/>
      <c r="B88" s="48"/>
    </row>
    <row customHeight="1" ht="11.25">
      <c r="A89" s="48"/>
      <c r="B89" s="48"/>
    </row>
    <row customHeight="1" ht="11.25">
      <c r="A90" s="48"/>
      <c r="B90" s="48"/>
    </row>
    <row customHeight="1" ht="11.25">
      <c r="A91" s="48"/>
      <c r="B91" s="48"/>
    </row>
    <row customHeight="1" ht="11.25">
      <c r="A92" s="48"/>
      <c r="B92" s="48"/>
    </row>
    <row customHeight="1" ht="11.25">
      <c r="A93" s="48"/>
      <c r="B93" s="48"/>
    </row>
    <row customHeight="1" ht="11.25">
      <c r="A94" s="48"/>
      <c r="B94" s="48"/>
    </row>
    <row customHeight="1" ht="11.25">
      <c r="A95" s="48"/>
      <c r="B95" s="48"/>
    </row>
    <row customHeight="1" ht="11.25">
      <c r="A96" s="48"/>
      <c r="B96" s="48"/>
    </row>
    <row customHeight="1" ht="11.25">
      <c r="A97" s="48"/>
      <c r="B97" s="48"/>
    </row>
    <row customHeight="1" ht="11.25">
      <c r="A98" s="48"/>
      <c r="B98" s="48"/>
    </row>
    <row customHeight="1" ht="11.25">
      <c r="A99" s="48"/>
      <c r="B99" s="48"/>
    </row>
    <row customHeight="1" ht="11.25">
      <c r="A100" s="48"/>
      <c r="B100" s="48"/>
    </row>
    <row customHeight="1" ht="11.25">
      <c r="A101" s="48"/>
      <c r="B101" s="48"/>
    </row>
    <row customHeight="1" ht="11.25">
      <c r="A102" s="48"/>
      <c r="B102" s="48"/>
    </row>
    <row customHeight="1" ht="11.25">
      <c r="A103" s="48"/>
      <c r="B103" s="48"/>
    </row>
    <row customHeight="1" ht="11.25">
      <c r="A104" s="48"/>
      <c r="B104" s="48"/>
    </row>
    <row customHeight="1" ht="11.25">
      <c r="A105" s="48"/>
      <c r="B105" s="48"/>
    </row>
    <row customHeight="1" ht="11.25">
      <c r="A106" s="48"/>
      <c r="B106" s="48"/>
    </row>
    <row customHeight="1" ht="11.25">
      <c r="A107" s="48"/>
      <c r="B107" s="48"/>
    </row>
    <row customHeight="1" ht="11.25">
      <c r="A108" s="48"/>
      <c r="B108" s="48"/>
    </row>
    <row customHeight="1" ht="11.25">
      <c r="A109" s="48"/>
      <c r="B109" s="48"/>
    </row>
    <row customHeight="1" ht="11.25">
      <c r="A110" s="48"/>
      <c r="B110" s="48"/>
    </row>
    <row customHeight="1" ht="11.25">
      <c r="A111" s="48"/>
      <c r="B111" s="48"/>
    </row>
    <row customHeight="1" ht="11.25">
      <c r="A112" s="48"/>
      <c r="B112" s="48"/>
    </row>
    <row customHeight="1" ht="11.25">
      <c r="A113" s="48"/>
      <c r="B113" s="48"/>
    </row>
    <row customHeight="1" ht="11.25">
      <c r="A114" s="48"/>
      <c r="B114" s="48"/>
    </row>
    <row customHeight="1" ht="11.25">
      <c r="A115" s="48"/>
      <c r="B115" s="48"/>
    </row>
    <row customHeight="1" ht="11.25">
      <c r="A116" s="48"/>
      <c r="B116" s="48"/>
    </row>
    <row customHeight="1" ht="11.25">
      <c r="A117" s="48"/>
      <c r="B117" s="48"/>
    </row>
    <row customHeight="1" ht="11.25">
      <c r="A118" s="48"/>
      <c r="B118" s="48"/>
    </row>
    <row customHeight="1" ht="11.25">
      <c r="A119" s="48"/>
      <c r="B119" s="48"/>
    </row>
    <row customHeight="1" ht="11.25">
      <c r="A120" s="48"/>
      <c r="B120" s="48"/>
    </row>
    <row customHeight="1" ht="11.25">
      <c r="A121" s="48"/>
      <c r="B121" s="48"/>
    </row>
    <row customHeight="1" ht="11.25">
      <c r="A122" s="48"/>
      <c r="B122" s="48"/>
    </row>
    <row customHeight="1" ht="11.25">
      <c r="A123" s="48"/>
      <c r="B123" s="48"/>
    </row>
    <row customHeight="1" ht="11.25">
      <c r="A124" s="48"/>
      <c r="B124" s="48"/>
    </row>
    <row customHeight="1" ht="11.25">
      <c r="A125" s="48"/>
      <c r="B125" s="48"/>
    </row>
    <row customHeight="1" ht="11.25">
      <c r="A126" s="48"/>
      <c r="B126" s="48"/>
    </row>
    <row customHeight="1" ht="11.25">
      <c r="A127" s="48"/>
      <c r="B127" s="48"/>
    </row>
    <row customHeight="1" ht="11.25">
      <c r="A128" s="48"/>
      <c r="B128" s="48"/>
    </row>
    <row customHeight="1" ht="11.25">
      <c r="A129" s="48"/>
      <c r="B129" s="48"/>
    </row>
    <row customHeight="1" ht="11.25">
      <c r="A130" s="48"/>
      <c r="B130" s="48"/>
    </row>
    <row customHeight="1" ht="11.25">
      <c r="A131" s="48"/>
      <c r="B131" s="48"/>
    </row>
    <row customHeight="1" ht="11.25">
      <c r="A132" s="48"/>
      <c r="B132" s="48"/>
    </row>
    <row customHeight="1" ht="11.25">
      <c r="A133" s="48"/>
      <c r="B133" s="48"/>
    </row>
    <row customHeight="1" ht="11.25">
      <c r="A134" s="48"/>
      <c r="B134" s="48"/>
    </row>
    <row customHeight="1" ht="11.25">
      <c r="A135" s="48"/>
      <c r="B135" s="48"/>
    </row>
    <row customHeight="1" ht="11.25">
      <c r="A136" s="48"/>
      <c r="B136" s="48"/>
    </row>
    <row customHeight="1" ht="11.25">
      <c r="A137" s="48"/>
      <c r="B137" s="48"/>
    </row>
    <row customHeight="1" ht="11.25">
      <c r="A138" s="48"/>
      <c r="B138" s="48"/>
    </row>
    <row customHeight="1" ht="11.25">
      <c r="A139" s="48"/>
      <c r="B139" s="48"/>
    </row>
    <row customHeight="1" ht="11.25">
      <c r="A140" s="48"/>
      <c r="B140" s="48"/>
    </row>
    <row customHeight="1" ht="11.25">
      <c r="A141" s="48"/>
      <c r="B141" s="48"/>
    </row>
    <row customHeight="1" ht="11.25">
      <c r="A142" s="48"/>
      <c r="B142" s="48"/>
    </row>
    <row customHeight="1" ht="11.25">
      <c r="A143" s="48"/>
      <c r="B143" s="48"/>
    </row>
    <row customHeight="1" ht="11.25">
      <c r="A144" s="48"/>
      <c r="B144" s="48"/>
    </row>
    <row customHeight="1" ht="11.25">
      <c r="A145" s="48"/>
      <c r="B145" s="48"/>
    </row>
    <row customHeight="1" ht="11.25">
      <c r="A146" s="48"/>
      <c r="B146" s="48"/>
    </row>
    <row customHeight="1" ht="11.25">
      <c r="A147" s="48"/>
      <c r="B147" s="48"/>
    </row>
    <row customHeight="1" ht="11.25">
      <c r="A148" s="48"/>
      <c r="B148" s="48"/>
    </row>
    <row customHeight="1" ht="11.25">
      <c r="A149" s="48"/>
      <c r="B149" s="48"/>
    </row>
    <row customHeight="1" ht="11.25">
      <c r="A150" s="48"/>
      <c r="B150" s="48"/>
    </row>
    <row customHeight="1" ht="11.25">
      <c r="A151" s="48"/>
      <c r="B151" s="48"/>
    </row>
    <row customHeight="1" ht="11.25">
      <c r="A152" s="48"/>
      <c r="B152" s="48"/>
    </row>
    <row customHeight="1" ht="11.25">
      <c r="A153" s="48"/>
      <c r="B153" s="48"/>
    </row>
    <row customHeight="1" ht="11.25">
      <c r="A154" s="48"/>
      <c r="B154" s="48"/>
    </row>
    <row customHeight="1" ht="11.25">
      <c r="A155" s="48"/>
      <c r="B155" s="48"/>
    </row>
    <row customHeight="1" ht="11.25">
      <c r="A156" s="48"/>
      <c r="B156" s="48"/>
    </row>
    <row customHeight="1" ht="11.25">
      <c r="A157" s="48"/>
      <c r="B157" s="48"/>
    </row>
    <row customHeight="1" ht="11.25">
      <c r="A158" s="48"/>
      <c r="B158" s="48"/>
    </row>
    <row customHeight="1" ht="11.25">
      <c r="A159" s="48"/>
      <c r="B159" s="48"/>
    </row>
    <row customHeight="1" ht="11.25">
      <c r="A160" s="48"/>
      <c r="B160" s="48"/>
    </row>
    <row customHeight="1" ht="11.25">
      <c r="A161" s="48"/>
      <c r="B161" s="48"/>
    </row>
    <row customHeight="1" ht="11.25">
      <c r="A162" s="48"/>
      <c r="B162" s="48"/>
    </row>
    <row customHeight="1" ht="11.25">
      <c r="A163" s="48"/>
      <c r="B163" s="48"/>
    </row>
    <row customHeight="1" ht="11.25">
      <c r="A164" s="48"/>
      <c r="B164" s="48"/>
    </row>
    <row customHeight="1" ht="11.25">
      <c r="A165" s="48"/>
      <c r="B165" s="48"/>
    </row>
    <row customHeight="1" ht="11.25">
      <c r="A166" s="48"/>
      <c r="B166" s="48"/>
    </row>
    <row customHeight="1" ht="11.25">
      <c r="A167" s="48"/>
      <c r="B167" s="48"/>
    </row>
    <row customHeight="1" ht="11.25">
      <c r="A168" s="48"/>
      <c r="B168" s="48"/>
    </row>
    <row customHeight="1" ht="11.25">
      <c r="A169" s="48"/>
      <c r="B169" s="48"/>
    </row>
    <row customHeight="1" ht="11.25">
      <c r="A170" s="48"/>
      <c r="B170" s="48"/>
    </row>
    <row customHeight="1" ht="11.25">
      <c r="A171" s="48"/>
      <c r="B171" s="48"/>
    </row>
    <row customHeight="1" ht="11.25">
      <c r="A172" s="48"/>
      <c r="B172" s="48"/>
    </row>
    <row customHeight="1" ht="11.25">
      <c r="A173" s="48"/>
      <c r="B173" s="48"/>
    </row>
    <row customHeight="1" ht="11.25">
      <c r="A174" s="48"/>
      <c r="B174" s="48"/>
    </row>
    <row customHeight="1" ht="11.25">
      <c r="A175" s="48"/>
      <c r="B175" s="48"/>
    </row>
    <row customHeight="1" ht="11.25">
      <c r="A176" s="48"/>
      <c r="B176" s="48"/>
    </row>
    <row customHeight="1" ht="11.25">
      <c r="A177" s="48"/>
      <c r="B177" s="48"/>
    </row>
    <row customHeight="1" ht="11.25">
      <c r="A178" s="48"/>
      <c r="B178" s="48"/>
    </row>
    <row customHeight="1" ht="11.25">
      <c r="A179" s="48"/>
      <c r="B179" s="48"/>
    </row>
    <row customHeight="1" ht="11.25">
      <c r="A180" s="48"/>
      <c r="B180" s="48"/>
    </row>
    <row customHeight="1" ht="11.25">
      <c r="A181" s="48"/>
      <c r="B181" s="48"/>
    </row>
    <row customHeight="1" ht="11.25">
      <c r="A182" s="48"/>
      <c r="B182" s="48"/>
    </row>
    <row customHeight="1" ht="11.25">
      <c r="A183" s="48"/>
      <c r="B183" s="48"/>
    </row>
    <row customHeight="1" ht="11.25">
      <c r="A184" s="48"/>
      <c r="B184" s="48"/>
    </row>
    <row customHeight="1" ht="11.25">
      <c r="A185" s="48"/>
      <c r="B185" s="48"/>
    </row>
    <row customHeight="1" ht="11.25">
      <c r="A186" s="48"/>
      <c r="B186" s="48"/>
    </row>
    <row customHeight="1" ht="11.25">
      <c r="A187" s="48"/>
      <c r="B187" s="48"/>
    </row>
    <row customHeight="1" ht="11.25">
      <c r="A188" s="48"/>
      <c r="B188" s="48"/>
    </row>
    <row customHeight="1" ht="11.25">
      <c r="A189" s="48"/>
      <c r="B189" s="48"/>
    </row>
    <row customHeight="1" ht="11.25">
      <c r="A190" s="48"/>
      <c r="B190" s="48"/>
    </row>
    <row customHeight="1" ht="11.25">
      <c r="A191" s="48"/>
      <c r="B191" s="48"/>
    </row>
    <row customHeight="1" ht="11.25">
      <c r="A192" s="48"/>
      <c r="B192" s="48"/>
    </row>
    <row customHeight="1" ht="11.25">
      <c r="A193" s="48"/>
      <c r="B193" s="48"/>
    </row>
    <row customHeight="1" ht="11.25">
      <c r="A194" s="48"/>
      <c r="B194" s="48"/>
    </row>
    <row customHeight="1" ht="11.25">
      <c r="A195" s="48"/>
      <c r="B195" s="48"/>
    </row>
    <row customHeight="1" ht="11.25">
      <c r="A196" s="48"/>
      <c r="B196" s="48"/>
    </row>
    <row customHeight="1" ht="11.25">
      <c r="A197" s="48"/>
      <c r="B197" s="48"/>
    </row>
    <row customHeight="1" ht="11.25">
      <c r="A198" s="48"/>
      <c r="B198" s="48"/>
    </row>
    <row customHeight="1" ht="11.25">
      <c r="A199" s="48"/>
      <c r="B199" s="48"/>
    </row>
    <row customHeight="1" ht="11.25">
      <c r="A200" s="48"/>
      <c r="B200" s="48"/>
    </row>
    <row customHeight="1" ht="11.25">
      <c r="A201" s="48"/>
      <c r="B201" s="48"/>
    </row>
    <row customHeight="1" ht="11.25">
      <c r="A202" s="48"/>
      <c r="B202" s="48"/>
    </row>
    <row customHeight="1" ht="11.25">
      <c r="A203" s="48"/>
      <c r="B203" s="48"/>
    </row>
    <row customHeight="1" ht="11.25">
      <c r="A204" s="48"/>
      <c r="B204" s="48"/>
    </row>
    <row customHeight="1" ht="11.25">
      <c r="A205" s="48"/>
      <c r="B205" s="48"/>
    </row>
    <row customHeight="1" ht="11.25">
      <c r="A206" s="48"/>
      <c r="B206" s="48"/>
    </row>
    <row customHeight="1" ht="11.25">
      <c r="A207" s="48"/>
      <c r="B207" s="48"/>
    </row>
    <row customHeight="1" ht="11.25">
      <c r="A208" s="48"/>
      <c r="B208" s="48"/>
    </row>
    <row customHeight="1" ht="11.25">
      <c r="A209" s="48"/>
      <c r="B209" s="48"/>
    </row>
    <row customHeight="1" ht="11.25">
      <c r="A210" s="48"/>
      <c r="B210" s="48"/>
    </row>
    <row customHeight="1" ht="11.25">
      <c r="A211" s="48"/>
      <c r="B211" s="48"/>
    </row>
    <row customHeight="1" ht="11.25">
      <c r="A212" s="48"/>
      <c r="B212" s="48"/>
    </row>
    <row customHeight="1" ht="11.25">
      <c r="A213" s="48"/>
      <c r="B213" s="48"/>
    </row>
    <row customHeight="1" ht="11.25">
      <c r="A214" s="48"/>
      <c r="B214" s="48"/>
    </row>
    <row customHeight="1" ht="11.25">
      <c r="A215" s="48"/>
      <c r="B215" s="48"/>
    </row>
    <row customHeight="1" ht="11.25">
      <c r="A216" s="48"/>
      <c r="B216" s="48"/>
    </row>
    <row customHeight="1" ht="11.25">
      <c r="A217" s="48"/>
      <c r="B217" s="48"/>
    </row>
    <row customHeight="1" ht="11.25">
      <c r="A218" s="48"/>
      <c r="B218" s="48"/>
    </row>
    <row customHeight="1" ht="11.25">
      <c r="A219" s="48"/>
      <c r="B219" s="48"/>
    </row>
    <row customHeight="1" ht="11.25">
      <c r="A220" s="48"/>
      <c r="B220" s="48"/>
    </row>
    <row customHeight="1" ht="11.25">
      <c r="A221" s="48"/>
      <c r="B221" s="48"/>
    </row>
    <row customHeight="1" ht="11.25">
      <c r="A222" s="48"/>
      <c r="B222" s="48"/>
    </row>
    <row customHeight="1" ht="11.25">
      <c r="A223" s="48"/>
      <c r="B223" s="48"/>
    </row>
    <row customHeight="1" ht="11.25">
      <c r="A224" s="48"/>
      <c r="B224" s="48"/>
    </row>
    <row customHeight="1" ht="11.25">
      <c r="A225" s="48"/>
      <c r="B225" s="48"/>
    </row>
    <row customHeight="1" ht="11.25">
      <c r="A226" s="48"/>
      <c r="B226" s="48"/>
    </row>
    <row customHeight="1" ht="11.25">
      <c r="A227" s="48"/>
      <c r="B227" s="48"/>
    </row>
    <row customHeight="1" ht="11.25">
      <c r="A228" s="48"/>
      <c r="B228" s="48"/>
    </row>
    <row customHeight="1" ht="11.25">
      <c r="A229" s="48"/>
      <c r="B229" s="48"/>
    </row>
    <row customHeight="1" ht="11.25">
      <c r="A230" s="48"/>
      <c r="B230" s="48"/>
    </row>
    <row customHeight="1" ht="11.25">
      <c r="A231" s="48"/>
      <c r="B231" s="48"/>
    </row>
    <row customHeight="1" ht="11.25">
      <c r="A232" s="48"/>
      <c r="B232" s="48"/>
    </row>
    <row customHeight="1" ht="11.25">
      <c r="A233" s="48"/>
      <c r="B233" s="48"/>
    </row>
    <row customHeight="1" ht="11.25">
      <c r="A234" s="48"/>
      <c r="B234" s="48"/>
    </row>
    <row customHeight="1" ht="11.25">
      <c r="A235" s="48"/>
      <c r="B235" s="48"/>
    </row>
    <row customHeight="1" ht="11.25">
      <c r="A236" s="48"/>
      <c r="B236" s="48"/>
    </row>
    <row customHeight="1" ht="11.25">
      <c r="A237" s="48"/>
      <c r="B237" s="48"/>
    </row>
    <row customHeight="1" ht="11.25">
      <c r="A238" s="48"/>
      <c r="B238" s="48"/>
    </row>
    <row customHeight="1" ht="11.25">
      <c r="A239" s="48"/>
      <c r="B239" s="48"/>
    </row>
    <row customHeight="1" ht="11.25">
      <c r="A240" s="48"/>
      <c r="B240" s="48"/>
    </row>
    <row customHeight="1" ht="11.25">
      <c r="A241" s="48"/>
      <c r="B241" s="48"/>
    </row>
    <row customHeight="1" ht="11.25">
      <c r="A242" s="48"/>
      <c r="B242" s="48"/>
    </row>
    <row customHeight="1" ht="11.25">
      <c r="A243" s="48"/>
      <c r="B243" s="48"/>
    </row>
    <row customHeight="1" ht="11.25">
      <c r="A244" s="48"/>
      <c r="B244" s="48"/>
    </row>
    <row customHeight="1" ht="11.25">
      <c r="A245" s="48"/>
      <c r="B245" s="48"/>
    </row>
    <row customHeight="1" ht="11.25">
      <c r="A246" s="48"/>
      <c r="B246" s="48"/>
    </row>
    <row customHeight="1" ht="11.25">
      <c r="A247" s="48"/>
      <c r="B247" s="48"/>
    </row>
    <row customHeight="1" ht="11.25">
      <c r="A248" s="48"/>
      <c r="B248" s="48"/>
    </row>
    <row customHeight="1" ht="11.25">
      <c r="A249" s="48"/>
      <c r="B249" s="48"/>
    </row>
    <row customHeight="1" ht="11.25">
      <c r="A250" s="48"/>
      <c r="B250" s="48"/>
    </row>
    <row customHeight="1" ht="11.25">
      <c r="A251" s="48"/>
      <c r="B251" s="48"/>
    </row>
    <row customHeight="1" ht="11.25">
      <c r="A252" s="48"/>
      <c r="B252" s="48"/>
    </row>
    <row customHeight="1" ht="11.25">
      <c r="A253" s="48"/>
      <c r="B253" s="48"/>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45201E-7D68-AD18-4048-DF059922174F}"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2515" width="3.7109375" customWidth="1"/>
    <col min="2" max="2" style="2515" width="90.7109375" customWidth="1"/>
    <col min="3" max="4" style="2515" width="9.140625"/>
  </cols>
  <sheetData>
    <row customHeight="1" ht="11.25">
      <c r="B1" s="78" t="s">
        <v>4730</v>
      </c>
    </row>
    <row customHeight="1" ht="90">
      <c r="B2" s="79" t="s">
        <v>4731</v>
      </c>
    </row>
    <row customHeight="1" ht="67.5">
      <c r="B3" s="79" t="s">
        <v>4732</v>
      </c>
    </row>
    <row customHeight="1" ht="33.75">
      <c r="B4" s="79" t="s">
        <v>4733</v>
      </c>
    </row>
    <row customHeight="1" ht="11.25">
      <c r="B5" s="79" t="s">
        <v>4734</v>
      </c>
    </row>
    <row customHeight="1" ht="22.5">
      <c r="B6" s="79" t="s">
        <v>4735</v>
      </c>
    </row>
    <row customHeight="1" ht="22.5">
      <c r="B7" s="79" t="s">
        <v>4736</v>
      </c>
    </row>
    <row customHeight="1" ht="22.5">
      <c r="B8" s="79" t="s">
        <v>4737</v>
      </c>
    </row>
    <row customHeight="1" ht="22.5">
      <c r="B9" s="79" t="s">
        <v>4738</v>
      </c>
    </row>
    <row customHeight="1" ht="56.25">
      <c r="B10" s="79" t="s">
        <v>4739</v>
      </c>
    </row>
    <row customHeight="1" ht="12.75">
      <c r="B11" s="145" t="s">
        <v>4740</v>
      </c>
    </row>
    <row customHeight="1" ht="11.25">
      <c r="B12" s="78" t="s">
        <v>4741</v>
      </c>
    </row>
    <row customHeight="1" ht="22.5">
      <c r="B13" s="79" t="s">
        <v>4742</v>
      </c>
    </row>
    <row customHeight="1" ht="67.5">
      <c r="B14" s="79" t="s">
        <v>4743</v>
      </c>
    </row>
    <row customHeight="1" ht="22.5">
      <c r="B15" s="79" t="s">
        <v>4744</v>
      </c>
    </row>
    <row customHeight="1" ht="11.25">
      <c r="B16" s="78" t="s">
        <v>4745</v>
      </c>
      <c r="D16" s="86"/>
    </row>
    <row customHeight="1" ht="33.75">
      <c r="B17" s="79" t="s">
        <v>4746</v>
      </c>
    </row>
    <row customHeight="1" ht="33.75">
      <c r="B18" s="79" t="s">
        <v>4747</v>
      </c>
    </row>
    <row customHeight="1" ht="11.25">
      <c r="B19" s="79" t="s">
        <v>4748</v>
      </c>
    </row>
    <row customHeight="1" ht="33.75">
      <c r="B20" s="79" t="s">
        <v>4749</v>
      </c>
    </row>
    <row customHeight="1" ht="11.25">
      <c r="B21" s="78" t="s">
        <v>4750</v>
      </c>
    </row>
    <row customHeight="1" ht="11.25">
      <c r="B22" s="79" t="s">
        <v>4751</v>
      </c>
    </row>
    <row r="24" customHeight="1" ht="22.5">
      <c r="B24" s="147" t="s">
        <v>4752</v>
      </c>
    </row>
    <row r="26" customHeight="1" ht="11.25">
      <c r="B26" s="78" t="s">
        <v>4753</v>
      </c>
    </row>
    <row customHeight="1" ht="22.5">
      <c r="B27" s="146" t="s">
        <v>389</v>
      </c>
    </row>
    <row customHeight="1" ht="56.25">
      <c r="B28" s="146" t="s">
        <v>4754</v>
      </c>
    </row>
    <row customHeight="1" ht="11.25">
      <c r="B29" s="196" t="s">
        <v>4755</v>
      </c>
    </row>
    <row customHeight="1" ht="22.5">
      <c r="B30" s="146" t="s">
        <v>4756</v>
      </c>
    </row>
    <row r="32" customHeight="1" ht="11.25">
      <c r="A32" s="174"/>
      <c r="B32" s="175" t="s">
        <v>4757</v>
      </c>
    </row>
    <row customHeight="1" ht="14.25">
      <c r="A33" s="176">
        <v>1</v>
      </c>
      <c r="B33" s="177" t="s">
        <v>4758</v>
      </c>
    </row>
    <row customHeight="1" ht="14.25">
      <c r="A34" s="176">
        <v>2</v>
      </c>
      <c r="B34" s="177" t="s">
        <v>4759</v>
      </c>
    </row>
    <row customHeight="1" ht="11.25">
      <c r="B35" s="175" t="s">
        <v>4760</v>
      </c>
    </row>
    <row customHeight="1" ht="11.25">
      <c r="B36" s="177" t="s">
        <v>4761</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0BB81A-65A8-E198-D076-EAE151802648}" mc:Ignorable="x14ac xr xr2 xr3">
  <sheetPr>
    <tabColor theme="3" tint="0.6"/>
  </sheetPr>
  <dimension ref="A1:U17"/>
  <sheetViews>
    <sheetView topLeftCell="A1" showGridLines="0" zoomScale="90" workbookViewId="0">
      <selection activeCell="A1" sqref="A1"/>
    </sheetView>
  </sheetViews>
  <sheetFormatPr defaultColWidth="10.57421875" customHeight="1" defaultRowHeight="14.25"/>
  <cols>
    <col min="1" max="1" style="3179" width="9.140625" hidden="1" customWidth="1"/>
    <col min="2" max="2" style="3176" width="9.140625" hidden="1" customWidth="1"/>
    <col min="3" max="3" style="3153" width="3.7109375" customWidth="1"/>
    <col min="4" max="4" style="3176" width="5.57421875" customWidth="1"/>
    <col min="5" max="5" style="3176" width="38.140625" customWidth="1"/>
    <col min="6" max="7" style="3176" width="3.7109375" customWidth="1"/>
    <col min="8" max="8" style="3176" width="38.28125" customWidth="1"/>
    <col min="9" max="9" style="3176" width="35.7109375" customWidth="1"/>
    <col min="10" max="10" style="3176" width="103.7109375" customWidth="1"/>
    <col min="11" max="11" style="2948" width="3.7109375" customWidth="1"/>
    <col min="12" max="14" style="3169" width="10.57421875"/>
    <col min="15" max="15" style="3169" width="13.7109375" customWidth="1"/>
    <col min="16" max="16" style="3169" width="15.421875" customWidth="1"/>
    <col min="17" max="17" style="3169" width="16.28125" customWidth="1"/>
    <col min="18" max="21" style="3169" width="10.57421875"/>
  </cols>
  <sheetData>
    <row customHeight="1" ht="14.25" hidden="1">
      <c r="E1" s="418"/>
      <c r="F1" s="418"/>
      <c r="G1" s="418"/>
      <c r="H1" s="2082" t="s">
        <v>345</v>
      </c>
      <c r="I1" s="2082"/>
    </row>
    <row s="3156" customFormat="1" customHeight="1" ht="14.25" hidden="1">
      <c r="C2" s="1659"/>
      <c r="D2" s="2086" t="s">
        <v>108</v>
      </c>
      <c r="E2" s="2088"/>
      <c r="F2" s="1665"/>
      <c r="G2" s="1660" t="s">
        <v>108</v>
      </c>
      <c r="H2" s="1663"/>
      <c r="I2" s="1661"/>
      <c r="L2" s="1662"/>
      <c r="M2" s="1662"/>
      <c r="N2" s="1662"/>
      <c r="O2" s="1662" t="s">
        <v>375</v>
      </c>
      <c r="P2" s="1662"/>
      <c r="Q2" s="1662"/>
      <c r="R2" s="1664" t="s">
        <v>374</v>
      </c>
      <c r="S2" s="1664" t="s">
        <v>374</v>
      </c>
      <c r="T2" s="1662"/>
      <c r="U2" s="1662"/>
    </row>
    <row s="3156" customFormat="1" customHeight="1" ht="14.25" hidden="1">
      <c r="C3" s="1659"/>
      <c r="D3" s="2087"/>
      <c r="E3" s="2089"/>
      <c r="F3" s="411"/>
      <c r="G3" s="875"/>
      <c r="H3" s="875" t="s">
        <v>376</v>
      </c>
      <c r="I3" s="303"/>
      <c r="L3" s="1662"/>
      <c r="M3" s="1662"/>
      <c r="N3" s="1662"/>
      <c r="O3" s="1662"/>
      <c r="P3" s="1662"/>
      <c r="Q3" s="1662"/>
      <c r="R3" s="1664"/>
      <c r="S3" s="1664"/>
      <c r="T3" s="1662"/>
      <c r="U3" s="1662"/>
    </row>
    <row customHeight="1" ht="14.25" hidden="1"/>
    <row s="3168" customFormat="1" customHeight="1" ht="6">
      <c r="C5" s="707"/>
      <c r="D5" s="708"/>
      <c r="E5" s="708"/>
      <c r="F5" s="708"/>
      <c r="G5" s="708"/>
      <c r="H5" s="708" t="s">
        <v>349</v>
      </c>
      <c r="I5" s="708"/>
      <c r="J5" s="708"/>
      <c r="L5" s="1654"/>
      <c r="M5" s="1654"/>
      <c r="N5" s="1654"/>
      <c r="O5" s="1654"/>
      <c r="P5" s="1654"/>
      <c r="Q5" s="1654"/>
      <c r="R5" s="1654"/>
      <c r="S5" s="1654"/>
      <c r="T5" s="1654"/>
      <c r="U5" s="1654"/>
    </row>
    <row customHeight="1" ht="27.75">
      <c r="C6" s="1546"/>
      <c r="D6" s="2085" t="s">
        <v>377</v>
      </c>
      <c r="E6" s="2085"/>
      <c r="F6" s="2085"/>
      <c r="G6" s="2085"/>
      <c r="H6" s="2085"/>
      <c r="I6" s="2085"/>
      <c r="J6" s="497"/>
      <c r="K6" s="1655"/>
    </row>
    <row customHeight="1" ht="17.25">
      <c r="C7" s="1546"/>
      <c r="D7" s="2053" t="str">
        <f>IF(org=0,"Не определено",org)</f>
        <v>МУП г. Азова "Теплоэнерго"</v>
      </c>
      <c r="E7" s="2053"/>
      <c r="F7" s="2053"/>
      <c r="G7" s="2053"/>
      <c r="H7" s="2053"/>
      <c r="I7" s="2053"/>
      <c r="J7" s="497"/>
      <c r="K7" s="1655"/>
    </row>
    <row s="3173" customFormat="1" customHeight="1" ht="6">
      <c r="A8" s="1651"/>
      <c r="C8" s="492"/>
      <c r="D8" s="491"/>
      <c r="E8" s="491"/>
      <c r="F8" s="491"/>
      <c r="G8" s="491"/>
      <c r="H8" s="491"/>
      <c r="I8" s="491"/>
      <c r="J8" s="491"/>
      <c r="L8" s="1654"/>
      <c r="M8" s="1654"/>
      <c r="N8" s="1654"/>
      <c r="O8" s="1654"/>
      <c r="P8" s="1654"/>
      <c r="Q8" s="1654"/>
      <c r="R8" s="1654"/>
      <c r="S8" s="1654"/>
      <c r="T8" s="1654"/>
      <c r="U8" s="1654"/>
    </row>
    <row s="3173" customFormat="1" customHeight="1" ht="6">
      <c r="A9" s="1651"/>
      <c r="C9" s="492"/>
      <c r="D9" s="491"/>
      <c r="E9" s="491"/>
      <c r="F9" s="491"/>
      <c r="G9" s="491"/>
      <c r="H9" s="491"/>
      <c r="I9" s="491"/>
      <c r="J9" s="491"/>
      <c r="L9" s="1662"/>
      <c r="M9" s="1662"/>
      <c r="N9" s="1662"/>
      <c r="O9" s="1662"/>
      <c r="P9" s="1662"/>
      <c r="Q9" s="1662"/>
      <c r="R9" s="1662"/>
      <c r="S9" s="1662"/>
      <c r="T9" s="1662"/>
      <c r="U9" s="1662"/>
    </row>
    <row customHeight="1" ht="14.25">
      <c r="C10" s="1546"/>
      <c r="D10" s="2068" t="s">
        <v>291</v>
      </c>
      <c r="E10" s="2083"/>
      <c r="F10" s="2083"/>
      <c r="G10" s="2083"/>
      <c r="H10" s="2083"/>
      <c r="I10" s="2083"/>
      <c r="J10" s="2067" t="s">
        <v>292</v>
      </c>
    </row>
    <row customHeight="1" ht="25.5">
      <c r="C11" s="1546"/>
      <c r="D11" s="1971" t="s">
        <v>87</v>
      </c>
      <c r="E11" s="2067" t="str">
        <f>IF(TEMPLATE_SPHERE&lt;&gt;"HEAT","Регулируемый вид деятельности","Вид регулируемой деятельности")</f>
        <v>Вид регулируемой деятельности</v>
      </c>
      <c r="F11" s="2029" t="s">
        <v>87</v>
      </c>
      <c r="G11" s="2030"/>
      <c r="H11" s="2028" t="s">
        <v>378</v>
      </c>
      <c r="I11" s="2028" t="s">
        <v>379</v>
      </c>
      <c r="J11" s="2067"/>
    </row>
    <row customHeight="1" ht="14.25">
      <c r="C12" s="1546"/>
      <c r="D12" s="1971"/>
      <c r="E12" s="2067"/>
      <c r="F12" s="2037"/>
      <c r="G12" s="2038"/>
      <c r="H12" s="2090"/>
      <c r="I12" s="2090"/>
      <c r="J12" s="2067"/>
    </row>
    <row s="2611" customFormat="1" customHeight="1" ht="11.25" hidden="1">
      <c r="C13" s="504"/>
      <c r="D13" s="505" t="s">
        <v>369</v>
      </c>
      <c r="E13" s="505"/>
      <c r="F13" s="505"/>
      <c r="G13" s="505"/>
      <c r="H13" s="503"/>
      <c r="I13" s="503"/>
      <c r="J13" s="441"/>
      <c r="L13" s="1654"/>
      <c r="M13" s="1654"/>
      <c r="N13" s="1654"/>
      <c r="O13" s="1654"/>
      <c r="P13" s="1654"/>
      <c r="Q13" s="1654"/>
      <c r="R13" s="1654"/>
      <c r="S13" s="1654"/>
      <c r="T13" s="1654"/>
      <c r="U13" s="1654"/>
    </row>
    <row customHeight="1" ht="14.25">
      <c r="A14" s="1647"/>
      <c r="C14" s="1546"/>
      <c r="D14" s="2086" t="s">
        <v>108</v>
      </c>
      <c r="E14" s="2088"/>
      <c r="F14" s="1657"/>
      <c r="G14" s="1656" t="s">
        <v>108</v>
      </c>
      <c r="H14" s="1663"/>
      <c r="I14" s="1661"/>
      <c r="J14" s="2015" t="s">
        <v>380</v>
      </c>
      <c r="K14" s="1647"/>
      <c r="R14" s="506" t="s">
        <v>374</v>
      </c>
      <c r="S14" s="506" t="s">
        <v>374</v>
      </c>
    </row>
    <row customHeight="1" ht="14.25">
      <c r="A15" s="1647"/>
      <c r="C15" s="1546"/>
      <c r="D15" s="2087"/>
      <c r="E15" s="2089"/>
      <c r="F15" s="411"/>
      <c r="G15" s="875"/>
      <c r="H15" s="875" t="s">
        <v>376</v>
      </c>
      <c r="I15" s="303"/>
      <c r="J15" s="2016"/>
      <c r="K15" s="1647"/>
      <c r="R15" s="506"/>
      <c r="S15" s="506"/>
    </row>
    <row customHeight="1" ht="14.25">
      <c r="A16" s="1647"/>
      <c r="C16" s="1546"/>
      <c r="D16" s="411"/>
      <c r="E16" s="875" t="s">
        <v>120</v>
      </c>
      <c r="F16" s="303"/>
      <c r="G16" s="303"/>
      <c r="H16" s="412"/>
      <c r="I16" s="412"/>
      <c r="J16" s="2017"/>
      <c r="K16" s="1647"/>
    </row>
    <row customHeight="1" ht="14.25">
      <c r="K17" s="1647"/>
    </row>
  </sheetData>
  <sheetProtection formatColumns="0" formatRows="0" autoFilter="0" sort="0" insertRows="0" insertColumns="1" deleteRows="0" deleteColumns="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1913</vt:i4>
      </vt:variant>
    </vt:vector>
  </HeadingPairs>
  <TitlesOfParts>
    <vt:vector size="1914"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pt_cs_3</vt:lpstr>
      <vt:lpstr>pt_cs_4</vt:lpstr>
      <vt:lpstr>pt_cs_4i</vt:lpstr>
      <vt:lpstr>pt_cs_4p</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pt_ist_te_3</vt:lpstr>
      <vt:lpstr>pt_ist_te_4</vt:lpstr>
      <vt:lpstr>pt_ist_te_4i</vt:lpstr>
      <vt:lpstr>pt_ist_te_4p</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pt_ntar_3</vt:lpstr>
      <vt:lpstr>pt_ntar_4</vt:lpstr>
      <vt:lpstr>pt_ntar_4i</vt:lpstr>
      <vt:lpstr>pt_ntar_4p</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pt_ter_3</vt:lpstr>
      <vt:lpstr>pt_ter_4</vt:lpstr>
      <vt:lpstr>pt_ter_4i</vt:lpstr>
      <vt:lpstr>pt_ter_4p</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ROIV_CASE_DEL_HL_CASE_COLUMN_MARKER</vt:lpstr>
      <vt:lpstr>ROIV_CASE_NUM_CASE_COLUMN_MARKER</vt:lpstr>
      <vt:lpstr>ROIV_INFO_DEL_HL_PHONE_COLUMN_MARKER</vt:lpstr>
      <vt:lpstr>ROIV_INFO_LIST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2023-10-08T20:57:54Z</dcterms:modified>
</cp:coreProperties>
</file>

<file path=docProps/custom.xml><?xml version="1.0" encoding="utf-8"?>
<Properties xmlns="http://schemas.openxmlformats.org/officeDocument/2006/custom-properties" xmlns:vt="http://schemas.openxmlformats.org/officeDocument/2006/docPropsVTypes"/>
</file>